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" windowWidth="16380" windowHeight="8196" activeTab="0"/>
  </bookViews>
  <sheets>
    <sheet name="uv za omt izvr I-VI" sheetId="1" r:id="rId1"/>
    <sheet name="uvecano za omt" sheetId="2" r:id="rId2"/>
    <sheet name="FP 2014 об.р.и утрош" sheetId="3" r:id="rId3"/>
    <sheet name="FP 2014 обр расх" sheetId="4" r:id="rId4"/>
    <sheet name="FP 2014 " sheetId="5" r:id="rId5"/>
    <sheet name="Plata prev ož" sheetId="6" r:id="rId6"/>
  </sheets>
  <definedNames>
    <definedName name="Excel_BuiltIn_Print_Titles" localSheetId="0">('uv za omt izvr I-VI'!$A$1:$K$3,'uv za omt izvr I-VI'!$33:$36)</definedName>
    <definedName name="Excel_BuiltIn_Print_Titles" localSheetId="0">('uv za omt izvr I-VI'!$A$1:$K$1,'uv za omt izvr I-VI'!$33:$36)</definedName>
    <definedName name="_xlnm.Print_Titles" localSheetId="4">('FP 2014 '!$A:$F,'FP 2014 '!$26:$29)</definedName>
    <definedName name="_xlnm.Print_Titles" localSheetId="2">('FP 2014 об.р.и утрош'!$A:$F,'FP 2014 об.р.и утрош'!$26:$29)</definedName>
    <definedName name="_xlnm.Print_Titles" localSheetId="3">('FP 2014 обр расх'!$A:$F,'FP 2014 обр расх'!$26:$29)</definedName>
    <definedName name="_xlnm.Print_Titles" localSheetId="0">('uv za omt izvr I-VI'!$A:$K,'uv za omt izvr I-VI'!$33:$36)</definedName>
    <definedName name="_xlnm.Print_Titles" localSheetId="1">('uvecano za omt'!$A:$F,'uvecano za omt'!$26:$29)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F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J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F179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>stomat placena od omt prim</t>
        </r>
      </text>
    </comment>
    <comment ref="J179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stom. Placena od omt prim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F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G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F18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>stomat placena od omt prim</t>
        </r>
      </text>
    </comment>
    <comment ref="H181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stom. Placena od omt prim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F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G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F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G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  <comment ref="H36" authorId="0">
      <text>
        <r>
          <rPr>
            <b/>
            <sz val="8"/>
            <color indexed="8"/>
            <rFont val="Tahoma"/>
            <family val="2"/>
          </rPr>
          <t xml:space="preserve">Author:
</t>
        </r>
        <r>
          <rPr>
            <sz val="8"/>
            <color indexed="8"/>
            <rFont val="Tahoma"/>
            <family val="2"/>
          </rPr>
          <t xml:space="preserve">taksi za pripravne lekare
</t>
        </r>
      </text>
    </comment>
  </commentList>
</comments>
</file>

<file path=xl/sharedStrings.xml><?xml version="1.0" encoding="utf-8"?>
<sst xmlns="http://schemas.openxmlformats.org/spreadsheetml/2006/main" count="1949" uniqueCount="517">
  <si>
    <t>ДОМ ЗДРАВЉА ИВАЊИЦА</t>
  </si>
  <si>
    <t xml:space="preserve">ФИНАНСИЈСКИ ПЛАН ЗА 2018 ГОДИНУ </t>
  </si>
  <si>
    <t>ПРИХОДИ И ПРИМАЊА</t>
  </si>
  <si>
    <t>Р.бр</t>
  </si>
  <si>
    <t>Група прихода</t>
  </si>
  <si>
    <t>Број апропријације</t>
  </si>
  <si>
    <t>Економска класификација</t>
  </si>
  <si>
    <t>Опис</t>
  </si>
  <si>
    <t xml:space="preserve">Износ планираних прихода и примања  </t>
  </si>
  <si>
    <t xml:space="preserve">Укупно                       </t>
  </si>
  <si>
    <t>Приходи из буџета</t>
  </si>
  <si>
    <t>Из донација</t>
  </si>
  <si>
    <t>Сопствена средства</t>
  </si>
  <si>
    <t>Републике</t>
  </si>
  <si>
    <t>Општине</t>
  </si>
  <si>
    <t>ООСО</t>
  </si>
  <si>
    <t>5=6+7+8+9+10</t>
  </si>
  <si>
    <t>I</t>
  </si>
  <si>
    <t>ДРУГИ ПРИХОДИ</t>
  </si>
  <si>
    <t>741000</t>
  </si>
  <si>
    <t xml:space="preserve">ПРИХОДИ ОД  ИМОВИНЕ </t>
  </si>
  <si>
    <t>Приход од имовине који припада имаоцима полиса осигурања Републике Србије</t>
  </si>
  <si>
    <t>ПРИХОДИ ОД ПРОДАЈЕ ДОБАРА И УСЛУГА</t>
  </si>
  <si>
    <t>742121*</t>
  </si>
  <si>
    <t>Приходи од услуга</t>
  </si>
  <si>
    <t>Приходи од стоматолошких услуга</t>
  </si>
  <si>
    <t>Приходи од закупа непокретности</t>
  </si>
  <si>
    <t>ДОБРОВОЉНИ ТРАНСФЕРИ ОД ФИЗИЧКИХ И ПРАВНИХ ЛИЦА</t>
  </si>
  <si>
    <t>Текући добровољни трансфери од физичких и правних лица</t>
  </si>
  <si>
    <t xml:space="preserve">МЕШОВИТИ И НЕОДРЕЂЕНИ ПРИХОДИ </t>
  </si>
  <si>
    <t>Приходи од закупа</t>
  </si>
  <si>
    <t>74516*</t>
  </si>
  <si>
    <t>Остали  приходи</t>
  </si>
  <si>
    <t>II</t>
  </si>
  <si>
    <t>МЕМОРАНДУМСКЕ СТАВКЕ ЗА РЕФУНДАЦИЈУ РАСХОДА</t>
  </si>
  <si>
    <t xml:space="preserve">Меморандумске ставке за рефундацију расхода </t>
  </si>
  <si>
    <t>Меморандумске ставке за рефундацију расхода из претходне године</t>
  </si>
  <si>
    <t>III</t>
  </si>
  <si>
    <t>7811101</t>
  </si>
  <si>
    <t>ТРАНСФЕРИ ИЗМЕЂУ БУЏЕТСКИХ КОРИСНИКА НА ИСТОМ НИВОУ - УГОВОР СА РФЗО</t>
  </si>
  <si>
    <t>IV</t>
  </si>
  <si>
    <t>ПРИХОДИ ИЗ БУЏЕТА</t>
  </si>
  <si>
    <t>V</t>
  </si>
  <si>
    <t>ПРИМАЊА ОД ПРОДАЈЕ НЕПОКРЕТНОСТИ</t>
  </si>
  <si>
    <t xml:space="preserve">Примања од откупа станова у државној својини </t>
  </si>
  <si>
    <t>УКУПНИ ПРИХОДИ И ПРИМАЊА  I+II+III+IV+V</t>
  </si>
  <si>
    <t>РАСХОДИ И ИЗДАЦИ</t>
  </si>
  <si>
    <t>Група расхода</t>
  </si>
  <si>
    <t xml:space="preserve">Износ планираних расхода и издатака </t>
  </si>
  <si>
    <t>Расходи и издаци из буџета</t>
  </si>
  <si>
    <t xml:space="preserve">ТЕКУЋИ РАСХОДИ И ИЗДАЦИ ЗА НЕФИНАНСИЈСКЕ ИМОВИНЕ </t>
  </si>
  <si>
    <t>РАСХОДИ ЗА ЗАПОСЛЕНЕ (1+2+3+4+5)</t>
  </si>
  <si>
    <t xml:space="preserve">ПЛАТЕ, ДОДАЦИ И НАКНАДЕ ЗАПОСЛЕНИХ (ЗАРАДЕ)  </t>
  </si>
  <si>
    <t>I.1.1</t>
  </si>
  <si>
    <t>I.1.2</t>
  </si>
  <si>
    <t xml:space="preserve">СОЦИЈАЛНИ ДОПРИНОСИ НА ТЕРЕТ ПОСЛОДАВЦА </t>
  </si>
  <si>
    <t xml:space="preserve">Допринос за пензијско и инвалидско осигурање </t>
  </si>
  <si>
    <t>odvojen zivot</t>
  </si>
  <si>
    <t>Допринос за здравствено осигурање</t>
  </si>
  <si>
    <t>Допринос за незапосленост</t>
  </si>
  <si>
    <t>НАКНАДЕ У НАТУРИ</t>
  </si>
  <si>
    <t>I.2.1</t>
  </si>
  <si>
    <t xml:space="preserve">Превоз на посао и са посла </t>
  </si>
  <si>
    <t xml:space="preserve">СОЦИЈАЛНА ДАВАЊА ЗАПОСЛЕНИМА </t>
  </si>
  <si>
    <t>I.3.1</t>
  </si>
  <si>
    <t>Отпремнине приликом одласка у пензију</t>
  </si>
  <si>
    <t>I.3.2</t>
  </si>
  <si>
    <t>Помоћ у случају смрти запосленог или члана уже породице</t>
  </si>
  <si>
    <t>I.3.3</t>
  </si>
  <si>
    <t>Помоћ у медицинском лечењу запосленог или чланова уже породице и друге помоћи запосленом</t>
  </si>
  <si>
    <t>I.3.4</t>
  </si>
  <si>
    <t>4141*</t>
  </si>
  <si>
    <t>I.3.5</t>
  </si>
  <si>
    <t>НАКНАДЕ ТРОШКОВА ЗА ЗАПОСЛЕНЕ</t>
  </si>
  <si>
    <t>I.4.1</t>
  </si>
  <si>
    <t>Накнада трошкова за одвојен живот од породице</t>
  </si>
  <si>
    <t>I.4.2</t>
  </si>
  <si>
    <t>Накнаде трошкова за превоз на посао и са посла</t>
  </si>
  <si>
    <t>I.4.3</t>
  </si>
  <si>
    <t>Накнаде трошкова за превоз на посао и са посла по путном налогу</t>
  </si>
  <si>
    <t xml:space="preserve">НАГРАДЕ ЗАПОСЛЕНИМА И ОСТАЛИ ПОСЕБНИ РАСХОДИ </t>
  </si>
  <si>
    <t>I.5.1</t>
  </si>
  <si>
    <t>Јубиларне награде запосленима</t>
  </si>
  <si>
    <t>I.5.2</t>
  </si>
  <si>
    <t>Накнаде члановима управних и надзорних одбора</t>
  </si>
  <si>
    <t>КОРИШЋЕЊЕ УСЛУГА И РОБА (1+2+3+4+5+6)</t>
  </si>
  <si>
    <t xml:space="preserve">СТАЛНИ ТРОШКОВИ </t>
  </si>
  <si>
    <t>II.1.1</t>
  </si>
  <si>
    <t>ТРОШКОВИ ПЛАТНОГ ПРОМЕТА И БАНКАРСКИХ УСЛУГА</t>
  </si>
  <si>
    <t>II.1.1.1</t>
  </si>
  <si>
    <t>Платни промет</t>
  </si>
  <si>
    <t>II.1.1.2</t>
  </si>
  <si>
    <t>Банкарске услуге</t>
  </si>
  <si>
    <t>II.1.2</t>
  </si>
  <si>
    <t>ЕНЕРГЕТСКЕ УСЛУГЕ</t>
  </si>
  <si>
    <t>II.1.2.1</t>
  </si>
  <si>
    <t>Електрична енергија</t>
  </si>
  <si>
    <t>II.1.2.2</t>
  </si>
  <si>
    <t>Дрво за огрев</t>
  </si>
  <si>
    <t>II.1.2.3</t>
  </si>
  <si>
    <t>Лож уље</t>
  </si>
  <si>
    <t>II.1.3</t>
  </si>
  <si>
    <t>КОМУНАЛНЕ УСЛУГЕ</t>
  </si>
  <si>
    <t>II.1.3.1</t>
  </si>
  <si>
    <t>Водовод и канализација</t>
  </si>
  <si>
    <t>II1.3.2</t>
  </si>
  <si>
    <t>Дератизација</t>
  </si>
  <si>
    <t>II.1.3.3</t>
  </si>
  <si>
    <t>Одвоз отпада</t>
  </si>
  <si>
    <t>II.1.3.4</t>
  </si>
  <si>
    <t>Одвоз и уништавање опасног отпада</t>
  </si>
  <si>
    <t>II.1.3.5</t>
  </si>
  <si>
    <t>Водни допринос</t>
  </si>
  <si>
    <t>II.1.4</t>
  </si>
  <si>
    <t>УСЛУГЕ КОМУНИКАЦИЈЕ</t>
  </si>
  <si>
    <t>II.1.4.1</t>
  </si>
  <si>
    <t>Телефон, телекс и телефакс</t>
  </si>
  <si>
    <t>II.1.4.2</t>
  </si>
  <si>
    <t>Услуге мобилног телефона</t>
  </si>
  <si>
    <t>II.1.4.3</t>
  </si>
  <si>
    <t>Интернет и слично</t>
  </si>
  <si>
    <t>II1.4.3.1</t>
  </si>
  <si>
    <t>Израда сајта и веб хостинг</t>
  </si>
  <si>
    <t>II1.4.4</t>
  </si>
  <si>
    <t>Остале услуге комуникације</t>
  </si>
  <si>
    <t>II1.4.5</t>
  </si>
  <si>
    <t>Пошта</t>
  </si>
  <si>
    <t>II1.4.6</t>
  </si>
  <si>
    <t xml:space="preserve">Остале ПТТ услуге – доплатне марке </t>
  </si>
  <si>
    <t>II.1.5</t>
  </si>
  <si>
    <t>ТРОШКОВИ ОСИГУРАЊА</t>
  </si>
  <si>
    <t>II.1.5.1</t>
  </si>
  <si>
    <t>Осигурање возила</t>
  </si>
  <si>
    <t>II.1.5.2</t>
  </si>
  <si>
    <t>Осигурање имовине</t>
  </si>
  <si>
    <t>II.1.5.3</t>
  </si>
  <si>
    <t>Осигурање запослених у случају несреће</t>
  </si>
  <si>
    <t>II.1.5.4</t>
  </si>
  <si>
    <t>Осигурање опреме</t>
  </si>
  <si>
    <t>II.1.6</t>
  </si>
  <si>
    <t>ЗАКУП АДМИНИСТРАТИВНЕ ОПРЕМЕ</t>
  </si>
  <si>
    <t>II.1.7</t>
  </si>
  <si>
    <t xml:space="preserve">ЗАКУП МЕДИЦИНСКЕ И ЛАБОРАТОРИЈСКЕ ОПРЕМЕ </t>
  </si>
  <si>
    <t>ОСТАЛИ ТРОШКОВИ</t>
  </si>
  <si>
    <t xml:space="preserve">ТРОШКОВИ ПУТОВАЊА </t>
  </si>
  <si>
    <t>II.2.1</t>
  </si>
  <si>
    <t>ТРОШКОВИ СЛУЖБЕНИХ ПУТОВАЊА У ЗЕМЉИ</t>
  </si>
  <si>
    <t>II.2.1.1</t>
  </si>
  <si>
    <t xml:space="preserve"> </t>
  </si>
  <si>
    <t>II.2.1.2</t>
  </si>
  <si>
    <t>Превоз на службеном путу у земљи</t>
  </si>
  <si>
    <t>II.2.1.3</t>
  </si>
  <si>
    <t>4221**</t>
  </si>
  <si>
    <t>Остали трошкови за пословна путовања</t>
  </si>
  <si>
    <t>II.2.2.</t>
  </si>
  <si>
    <t>Трошкови службених путовања у иностранство</t>
  </si>
  <si>
    <t>II.2.3</t>
  </si>
  <si>
    <t>Трошкови путовања у оквиру редовног рада</t>
  </si>
  <si>
    <t>II.2.3.1</t>
  </si>
  <si>
    <t>Дневница (исхрана) за путовање у оквиру редовног рада</t>
  </si>
  <si>
    <t>II.2.3.2</t>
  </si>
  <si>
    <t>Трошкови путовања у оквиру редовног рада(аутобус,авион...)</t>
  </si>
  <si>
    <t xml:space="preserve">УСЛУГЕ ПО УГОВОРУ </t>
  </si>
  <si>
    <t>II.3.1</t>
  </si>
  <si>
    <t>АДМИНИСТРАТИВНЕ УСЛУГЕ - Уговор о делу н.</t>
  </si>
  <si>
    <t>II.3.1.1</t>
  </si>
  <si>
    <t xml:space="preserve">Остале административне услуге </t>
  </si>
  <si>
    <t>II.3.2</t>
  </si>
  <si>
    <t>КОМПЈУТЕРСКЕ УСЛУГЕ</t>
  </si>
  <si>
    <t>II.3.2.1</t>
  </si>
  <si>
    <t>Услуге за одржавање софтвера</t>
  </si>
  <si>
    <t>II.3.2.2</t>
  </si>
  <si>
    <t xml:space="preserve">Услуге одржавања рачунара - </t>
  </si>
  <si>
    <t>II3.2.3</t>
  </si>
  <si>
    <t>Услуге одржавања рачунара – информатичар</t>
  </si>
  <si>
    <t>II.3.3</t>
  </si>
  <si>
    <t xml:space="preserve">УСЛУГЕ ОБРАЗОВАЊА И УСАВРШАВАЊА  </t>
  </si>
  <si>
    <t>II.3.3.1</t>
  </si>
  <si>
    <t>Услуге образовања и усавршавања запослених</t>
  </si>
  <si>
    <t>II.3.3.2</t>
  </si>
  <si>
    <t>Котизација за семинаре</t>
  </si>
  <si>
    <t>II3.3.3</t>
  </si>
  <si>
    <t>Остали издаци за стручно образовање</t>
  </si>
  <si>
    <t>II.3.4</t>
  </si>
  <si>
    <t>УСЛУГЕ ИНФОРМИСАЊА</t>
  </si>
  <si>
    <t>II.3.4.1</t>
  </si>
  <si>
    <t>Објављивање тендера и информативних огласа</t>
  </si>
  <si>
    <t>II.3.4.2</t>
  </si>
  <si>
    <t>4234*</t>
  </si>
  <si>
    <t>Остале медијске услуге</t>
  </si>
  <si>
    <t>II.3.5</t>
  </si>
  <si>
    <t>II.3.6</t>
  </si>
  <si>
    <t>Стручне услуге - уговор о делу (медицински)</t>
  </si>
  <si>
    <t>II.3.7</t>
  </si>
  <si>
    <t>Репрезентација</t>
  </si>
  <si>
    <t>II.3.8</t>
  </si>
  <si>
    <t>Остале опште услуге</t>
  </si>
  <si>
    <t xml:space="preserve">СПЕЦИЈАЛИЗОВАНЕ УСЛУГЕ </t>
  </si>
  <si>
    <t>II.4.1</t>
  </si>
  <si>
    <t>МЕДИЦИНСКЕ УСЛУГЕ</t>
  </si>
  <si>
    <t>II.4.1.2</t>
  </si>
  <si>
    <t>Услуге јавног здравства - инспекција и анализа</t>
  </si>
  <si>
    <t>II4.1.3</t>
  </si>
  <si>
    <t xml:space="preserve">Остале медицинске услуге </t>
  </si>
  <si>
    <t xml:space="preserve">ТЕКУЋЕ ПОПРАВКЕ И ОДРЖАВАЊЕ </t>
  </si>
  <si>
    <t>II.5.1</t>
  </si>
  <si>
    <t>ТЕКУЋЕ ПОПРАВКЕ И ОДРЖАВАЊЕ ЗГРАДА И ОБЈЕКАТА</t>
  </si>
  <si>
    <t>II.5.1.1</t>
  </si>
  <si>
    <t>Зидарски радови</t>
  </si>
  <si>
    <t>II.5.1.2</t>
  </si>
  <si>
    <t>Столарски радови</t>
  </si>
  <si>
    <t>II.5.1.3</t>
  </si>
  <si>
    <t>Молерски радови</t>
  </si>
  <si>
    <t>II.5.1.4</t>
  </si>
  <si>
    <t>Радови на крову</t>
  </si>
  <si>
    <t>II.5.1.5</t>
  </si>
  <si>
    <t>Радови на водоводу и канализацији</t>
  </si>
  <si>
    <t>II.5.1.6</t>
  </si>
  <si>
    <t>Централно грејање</t>
  </si>
  <si>
    <t>II.5.1.7</t>
  </si>
  <si>
    <t>Електричне инсталације</t>
  </si>
  <si>
    <t>II.5.1.8</t>
  </si>
  <si>
    <t>Радови на комуникационим инсталацијама</t>
  </si>
  <si>
    <t>II.5.1.9</t>
  </si>
  <si>
    <t>Остале услуге и материјали за текуће поправке и одржавање зграда</t>
  </si>
  <si>
    <t>II.5.1.10</t>
  </si>
  <si>
    <t>Текуће поправке и одржавање осталих објеката</t>
  </si>
  <si>
    <t>II.5.2</t>
  </si>
  <si>
    <t>ТЕКУЋЕ ПОПРАВКЕ И ОДРЖАВАЊЕ ОПРЕМЕ</t>
  </si>
  <si>
    <t>II.5.2.1</t>
  </si>
  <si>
    <t>Поправка и одржавање опреме за саобраћај</t>
  </si>
  <si>
    <t>II.5.2.1.1</t>
  </si>
  <si>
    <t>Механичке поправке-</t>
  </si>
  <si>
    <t>II5.2.1.2</t>
  </si>
  <si>
    <t>Сервис моторних возила</t>
  </si>
  <si>
    <t>II.5.2.1.3</t>
  </si>
  <si>
    <t>Поправке електронске и електричне опреме</t>
  </si>
  <si>
    <t>II.5.2.1.4</t>
  </si>
  <si>
    <t>Лимарски радови на возилима</t>
  </si>
  <si>
    <t>II5.2.1.4</t>
  </si>
  <si>
    <t>Булканизерски радови</t>
  </si>
  <si>
    <t>II5.2.1.5</t>
  </si>
  <si>
    <t>Остале поправке и одржавање опреме за саобраћај</t>
  </si>
  <si>
    <t>II.5.2.2</t>
  </si>
  <si>
    <t>Текуће поправке и одржавање административне опреме</t>
  </si>
  <si>
    <t>II.5.2.2.1</t>
  </si>
  <si>
    <t>Намештај</t>
  </si>
  <si>
    <t>II.5.2.2.2</t>
  </si>
  <si>
    <t>Рачунарска опрема</t>
  </si>
  <si>
    <t>II.5.2.2.3</t>
  </si>
  <si>
    <t>Опрема за комуникацију</t>
  </si>
  <si>
    <t>II.5.2.2.4</t>
  </si>
  <si>
    <t>Електронска и фотографска опрема</t>
  </si>
  <si>
    <t>II.5.2.2.5</t>
  </si>
  <si>
    <t>Опрема за домаћинство и угоститељство</t>
  </si>
  <si>
    <t>II.5.2.2.6</t>
  </si>
  <si>
    <t>Биротехничка опрема</t>
  </si>
  <si>
    <t>II.5.2.2.7</t>
  </si>
  <si>
    <t>Остале поправке и одржавање административне опреме</t>
  </si>
  <si>
    <t>II.5.2.2.8</t>
  </si>
  <si>
    <t>Уградна опрема</t>
  </si>
  <si>
    <t>II.5.2.3</t>
  </si>
  <si>
    <t>Текуће поправке и одржавање медицинске опреме</t>
  </si>
  <si>
    <t>II.5.2.4</t>
  </si>
  <si>
    <t>Сервис стоматолошке опреме</t>
  </si>
  <si>
    <t>II5.2.5</t>
  </si>
  <si>
    <t>Одржавање апарата за реверзну осмозу</t>
  </si>
  <si>
    <t>II.5.2.6</t>
  </si>
  <si>
    <t>Текуће поправке и одржавање лабораторијске опреме</t>
  </si>
  <si>
    <t>II.5.2.7</t>
  </si>
  <si>
    <t>Текуће поправке и одржавање мерних инструмената</t>
  </si>
  <si>
    <t>II.5.2.8</t>
  </si>
  <si>
    <t>Текуће поправке и одржавање опреме за јавну безбедност</t>
  </si>
  <si>
    <t>МАТЕРИЈАЛ</t>
  </si>
  <si>
    <t>II.6.1</t>
  </si>
  <si>
    <t>АДМИНИСТРАТИВНИ МАТЕРИЈАЛ</t>
  </si>
  <si>
    <t>II.6.1.1</t>
  </si>
  <si>
    <t>Канцеларијски материјал</t>
  </si>
  <si>
    <t>II.6.1.2</t>
  </si>
  <si>
    <t>Здравствени обрасци</t>
  </si>
  <si>
    <t>II.6.1.3</t>
  </si>
  <si>
    <t>Канцеларијски материјал за рачунарску опрему</t>
  </si>
  <si>
    <t>Расходи за радну униформу</t>
  </si>
  <si>
    <t>Службена одећа</t>
  </si>
  <si>
    <t>Униформе</t>
  </si>
  <si>
    <t>II.6.1.4</t>
  </si>
  <si>
    <t>ХТЗ опрема</t>
  </si>
  <si>
    <t>II6.1.5.</t>
  </si>
  <si>
    <t>Цвеће и зеленило</t>
  </si>
  <si>
    <t>II.6.2</t>
  </si>
  <si>
    <t>Материјали за образовање и усавршавање запослених -стручна литература</t>
  </si>
  <si>
    <t>II6.2.1</t>
  </si>
  <si>
    <t>Стручна литература за редовне потребе запослених</t>
  </si>
  <si>
    <t>II.6.3</t>
  </si>
  <si>
    <t>МАТЕРИЈАЛИ ЗА САОБРАЋАЈ</t>
  </si>
  <si>
    <t>II.6.3.1</t>
  </si>
  <si>
    <t>Бензин</t>
  </si>
  <si>
    <t>II.6.3.2</t>
  </si>
  <si>
    <t>Плин</t>
  </si>
  <si>
    <t>II.6.3.3</t>
  </si>
  <si>
    <t>Дизел гориво</t>
  </si>
  <si>
    <t>II.6.3.4</t>
  </si>
  <si>
    <t>Уља и мазива О6Е</t>
  </si>
  <si>
    <t>II.6.3.5</t>
  </si>
  <si>
    <t>Ауто гуме</t>
  </si>
  <si>
    <t>II.6.3.6</t>
  </si>
  <si>
    <t>Ауто делови</t>
  </si>
  <si>
    <t>II.6.4</t>
  </si>
  <si>
    <t>МЕДИЦИНСКИ И ЛАБОРАТОРИЈСКИ МАТЕРИЈАЛИ</t>
  </si>
  <si>
    <t>II.6.4.1</t>
  </si>
  <si>
    <t>Материјал за медицинске тестове</t>
  </si>
  <si>
    <t>II.6.4.1.1</t>
  </si>
  <si>
    <t>Санитетски материјал</t>
  </si>
  <si>
    <t>II.6.4.1.2</t>
  </si>
  <si>
    <t>Хируршки конци</t>
  </si>
  <si>
    <t>II.6.4.1.3</t>
  </si>
  <si>
    <t>Материјал за дезинфекцију</t>
  </si>
  <si>
    <t>II.6.4.1.4</t>
  </si>
  <si>
    <t>Медицински кисеоник</t>
  </si>
  <si>
    <t>II6.4.1.5</t>
  </si>
  <si>
    <t xml:space="preserve">Термо ролне – траке </t>
  </si>
  <si>
    <t>II.6.4.2</t>
  </si>
  <si>
    <t>Материјал за лабораторијске тестове</t>
  </si>
  <si>
    <t>II.6.4.3</t>
  </si>
  <si>
    <t xml:space="preserve">Лекови </t>
  </si>
  <si>
    <t>II.6.4.3.1</t>
  </si>
  <si>
    <t>Лекови у ЗУ</t>
  </si>
  <si>
    <t>II.6.4.3.2</t>
  </si>
  <si>
    <t>Лекови по посебном режиму</t>
  </si>
  <si>
    <t>II.6.4.3.3</t>
  </si>
  <si>
    <t>Соматулин, Сандостатин</t>
  </si>
  <si>
    <t>II.6.4.3.4</t>
  </si>
  <si>
    <t>Лекови ван листе лекова</t>
  </si>
  <si>
    <t>II.6.4.4</t>
  </si>
  <si>
    <t>Остали медицински материјали</t>
  </si>
  <si>
    <t>Материјал и лекови за дијализу</t>
  </si>
  <si>
    <t>II.6.4.4.2</t>
  </si>
  <si>
    <t xml:space="preserve">Рентген филмови </t>
  </si>
  <si>
    <t>II.6.4.4.3</t>
  </si>
  <si>
    <t>Стоматолошки потрошни материјал</t>
  </si>
  <si>
    <t>II.6.5</t>
  </si>
  <si>
    <t>Материјали за одржавање хигијене и угоститељство</t>
  </si>
  <si>
    <t>II.6.5.1</t>
  </si>
  <si>
    <t>Средства за оржавање хигијене</t>
  </si>
  <si>
    <t>II.6.5.2</t>
  </si>
  <si>
    <t>Прашак за машинско прање</t>
  </si>
  <si>
    <t>II.6.5.3</t>
  </si>
  <si>
    <t>Исхрана болесника - животне намирнице</t>
  </si>
  <si>
    <t>II.6.5.4</t>
  </si>
  <si>
    <t>Исхрана болесника - месо, млеко, јогурт</t>
  </si>
  <si>
    <t>II.6.5.5</t>
  </si>
  <si>
    <t>Текстилни материјал</t>
  </si>
  <si>
    <t>II.6.5.6</t>
  </si>
  <si>
    <t>Инвентар за одржавање хигијене</t>
  </si>
  <si>
    <t>II.6.5.7</t>
  </si>
  <si>
    <t>II.6.6</t>
  </si>
  <si>
    <t>Материјали за посебне намене</t>
  </si>
  <si>
    <t>II.6.6.1</t>
  </si>
  <si>
    <t>Потрошни материјал</t>
  </si>
  <si>
    <t>II.6.6.2</t>
  </si>
  <si>
    <t>Резервни делови</t>
  </si>
  <si>
    <t>II.6.6.3</t>
  </si>
  <si>
    <t>Остали резервни делови</t>
  </si>
  <si>
    <t>II.6.6.4</t>
  </si>
  <si>
    <t>Резервни делови за медицинску опрему</t>
  </si>
  <si>
    <t>II.6.6.5</t>
  </si>
  <si>
    <t>II.6.6.5.1</t>
  </si>
  <si>
    <t>Електро материјал</t>
  </si>
  <si>
    <t>II.6.6.5.2</t>
  </si>
  <si>
    <t>Водоводни материјал</t>
  </si>
  <si>
    <t>II.6.6.5.3</t>
  </si>
  <si>
    <t>Браварско лимарски материјал</t>
  </si>
  <si>
    <t>II.6.6.5.4</t>
  </si>
  <si>
    <t>Материјал за котларницу</t>
  </si>
  <si>
    <t>II.6.6.5.5</t>
  </si>
  <si>
    <t>Молерски материјал</t>
  </si>
  <si>
    <t>II.6.6.5.6</t>
  </si>
  <si>
    <t>Остали технички материјал</t>
  </si>
  <si>
    <t>II.6.6.5.7</t>
  </si>
  <si>
    <t>Пропан бутан гас у боцама</t>
  </si>
  <si>
    <t>III.1</t>
  </si>
  <si>
    <t>ОТПЛАТА КАМАТА И ТЕКУЋИ ТРОШКОВИ ЗАДУЖИВАЊА</t>
  </si>
  <si>
    <t>III.1.1</t>
  </si>
  <si>
    <t>Казне за кашњење</t>
  </si>
  <si>
    <t>IV.1</t>
  </si>
  <si>
    <t>ДОНАЦИЈЕ,ДОТАЦИЈЕ И ТРАНСФЕРИ</t>
  </si>
  <si>
    <t>IV1.1</t>
  </si>
  <si>
    <t>Oстале текуће дотације по закону- инвалиди</t>
  </si>
  <si>
    <t>ПОРЕЗИ, ОБАВЕЗНЕ ТАКСЕ, КАЗНЕ И ПЕНАЛИ</t>
  </si>
  <si>
    <t>IV.1.1</t>
  </si>
  <si>
    <t>Регистрација возила</t>
  </si>
  <si>
    <t>IV.1.2</t>
  </si>
  <si>
    <t>Републичке таксе</t>
  </si>
  <si>
    <t>IV.1.3</t>
  </si>
  <si>
    <t>Судске таксе</t>
  </si>
  <si>
    <t>IV1.4</t>
  </si>
  <si>
    <t>Порез на добит правних лица</t>
  </si>
  <si>
    <t>295000</t>
  </si>
  <si>
    <t>IV.1.1.1.</t>
  </si>
  <si>
    <t>VI</t>
  </si>
  <si>
    <t>V.1</t>
  </si>
  <si>
    <t>НОВЧАНЕ КАЗНЕ И ПЕНАЛИ ПО РЕШЕЊУ СУДОВА</t>
  </si>
  <si>
    <t>V.1.1</t>
  </si>
  <si>
    <t>Новчане казне и пенали по решењу судова</t>
  </si>
  <si>
    <t xml:space="preserve">   </t>
  </si>
  <si>
    <t>VII</t>
  </si>
  <si>
    <t>510000</t>
  </si>
  <si>
    <t>VI.1</t>
  </si>
  <si>
    <t>ОСНОВНА СРЕДСТВА</t>
  </si>
  <si>
    <t>VI1.1</t>
  </si>
  <si>
    <t>Изградња зграда и објеката</t>
  </si>
  <si>
    <t>VI.1.1</t>
  </si>
  <si>
    <t>ПАРКИНГ</t>
  </si>
  <si>
    <t>VI.2</t>
  </si>
  <si>
    <t>Капитално одржавање зграда и објеката</t>
  </si>
  <si>
    <t>VI.2.1</t>
  </si>
  <si>
    <t>Капитално одржавање болница,домова здравља</t>
  </si>
  <si>
    <t>5114*</t>
  </si>
  <si>
    <t>Пројектно планирање</t>
  </si>
  <si>
    <t>Машине и опрема</t>
  </si>
  <si>
    <t>АДМИНИСТРАТИВНА ОПРЕМА</t>
  </si>
  <si>
    <t>VI.2.1.1</t>
  </si>
  <si>
    <t>Телефони</t>
  </si>
  <si>
    <t>VI.3</t>
  </si>
  <si>
    <t>Нематеријална имовина</t>
  </si>
  <si>
    <t>VI.3.1</t>
  </si>
  <si>
    <t>Компјутерски софтвер</t>
  </si>
  <si>
    <t>VI.3.1.1</t>
  </si>
  <si>
    <t>Компјутерски софтвер- лиценца</t>
  </si>
  <si>
    <t>VI.3.1.2</t>
  </si>
  <si>
    <t>VI.4</t>
  </si>
  <si>
    <t>Медицинска и лабораторијска опрема</t>
  </si>
  <si>
    <t>VI.4.1</t>
  </si>
  <si>
    <t>Медицинска опрема</t>
  </si>
  <si>
    <t>УКУПНИ РАСХОДИ И ИЗДАЦИ I+II+III+IV</t>
  </si>
  <si>
    <t>УГОВОР</t>
  </si>
  <si>
    <t>plate</t>
  </si>
  <si>
    <t>prevoz</t>
  </si>
  <si>
    <t>lekovi</t>
  </si>
  <si>
    <t>Sandostatin</t>
  </si>
  <si>
    <t>san.mat</t>
  </si>
  <si>
    <t>ISHRANA</t>
  </si>
  <si>
    <t>energenti</t>
  </si>
  <si>
    <t>ostali mat tr</t>
  </si>
  <si>
    <t>stomatologija</t>
  </si>
  <si>
    <t>Саставила</t>
  </si>
  <si>
    <t xml:space="preserve"> дипл. екон. Вера Поповић </t>
  </si>
  <si>
    <t>31.01.2018</t>
  </si>
  <si>
    <t>ПРИМАРНА ЗДРАВСТВЕНА ЗАШТИТА</t>
  </si>
  <si>
    <t xml:space="preserve">                                           ФИНАНСИЈСКИ ПЛАН ЗА 2014. ГОДИНУ</t>
  </si>
  <si>
    <t>РФЗО</t>
  </si>
  <si>
    <t>УКУПНО</t>
  </si>
  <si>
    <t>СОПСТВЕНА СРЕДСТВА</t>
  </si>
  <si>
    <t>ДЗ ЧАЧАК</t>
  </si>
  <si>
    <t>ДЗ ЛУЧАНИ</t>
  </si>
  <si>
    <t>ДЗ ИВАЊИЦА</t>
  </si>
  <si>
    <t>740000</t>
  </si>
  <si>
    <t>УКУПНИ ПРИХОДИ И ПРИМАЊА  I+II+III</t>
  </si>
  <si>
    <t>ПЛАТЕ, ДОДАЦИ И НАКНАДЕ ЗАПОСЛЕНИХ</t>
  </si>
  <si>
    <t>Угаљ</t>
  </si>
  <si>
    <t>Природни гас</t>
  </si>
  <si>
    <t>II.1.2.4</t>
  </si>
  <si>
    <t>II.1.3.2</t>
  </si>
  <si>
    <t>Допринос за коришћење градског земљишта</t>
  </si>
  <si>
    <t>4214**</t>
  </si>
  <si>
    <t>Остале услуге комуникација</t>
  </si>
  <si>
    <t>Дневнице на службеном путу</t>
  </si>
  <si>
    <t>II.2.1.4</t>
  </si>
  <si>
    <t>II.2.2</t>
  </si>
  <si>
    <t>Услуге за израду софтвера</t>
  </si>
  <si>
    <t>Услуге одржавања рачунара - софтвера</t>
  </si>
  <si>
    <t>II.4.1.1</t>
  </si>
  <si>
    <t>Здравствена заштита по уговору</t>
  </si>
  <si>
    <t>Механичке поправке</t>
  </si>
  <si>
    <t>II.5.2.1.2</t>
  </si>
  <si>
    <t>II.5.2.5</t>
  </si>
  <si>
    <t>Уља и мазива</t>
  </si>
  <si>
    <t>Лекови са Листе Д</t>
  </si>
  <si>
    <t>II.6.4.4.1</t>
  </si>
  <si>
    <t>Остали материјал за домаћинство</t>
  </si>
  <si>
    <t>Остали материјали за посебне намена</t>
  </si>
  <si>
    <t>III.1.2</t>
  </si>
  <si>
    <t>III.1.3</t>
  </si>
  <si>
    <t>III.A</t>
  </si>
  <si>
    <t>Новчане казне и пенали по решењу судова**</t>
  </si>
  <si>
    <t>5*</t>
  </si>
  <si>
    <t>ČAČAK</t>
  </si>
  <si>
    <t>LUČANI</t>
  </si>
  <si>
    <t>IVANJICA</t>
  </si>
  <si>
    <t>UKUPNO</t>
  </si>
  <si>
    <t>UGOVOR</t>
  </si>
  <si>
    <t>ДОМ ЗДРАВЉА ЧАЧАК</t>
  </si>
  <si>
    <t>Крв и продукти од крви</t>
  </si>
  <si>
    <t>Материјал за дијализу</t>
  </si>
  <si>
    <t>KRV</t>
  </si>
  <si>
    <t>%</t>
  </si>
  <si>
    <t>PLATA</t>
  </si>
  <si>
    <t xml:space="preserve">procenti na osnovu isplaćenih plata za jan-mart 14 -Olja dala </t>
  </si>
  <si>
    <t>ug-ispl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</si>
  <si>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</si>
  <si>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</si>
  <si>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</si>
  <si>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</si>
  <si>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</si>
  <si>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</si>
  <si>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</si>
  <si>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</si>
  <si>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</si>
  <si>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</si>
  <si>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</si>
  <si>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</si>
  <si>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PREVOZ</t>
  </si>
  <si>
    <t>ODVOJEN ŽIVOT</t>
  </si>
  <si>
    <t>neto</t>
  </si>
  <si>
    <t>doprinosi</t>
  </si>
  <si>
    <t>ukupno</t>
  </si>
  <si>
    <t>Плате,додаци и накнаде запослених</t>
  </si>
</sst>
</file>

<file path=xl/styles.xml><?xml version="1.0" encoding="utf-8"?>
<styleSheet xmlns="http://schemas.openxmlformats.org/spreadsheetml/2006/main">
  <numFmts count="1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#"/>
    <numFmt numFmtId="165" formatCode="#,##0.00000000"/>
    <numFmt numFmtId="166" formatCode="#,##0.0000000"/>
  </numFmts>
  <fonts count="59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b/>
      <i/>
      <sz val="9"/>
      <name val="Cambria"/>
      <family val="1"/>
    </font>
    <font>
      <sz val="7"/>
      <name val="Cambria"/>
      <family val="1"/>
    </font>
    <font>
      <b/>
      <sz val="9"/>
      <color indexed="8"/>
      <name val="Cambria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1"/>
      <name val="Cambria"/>
      <family val="1"/>
    </font>
    <font>
      <sz val="8"/>
      <name val="Cambria"/>
      <family val="1"/>
    </font>
    <font>
      <b/>
      <sz val="9"/>
      <color indexed="10"/>
      <name val="Cambria"/>
      <family val="1"/>
    </font>
    <font>
      <sz val="9"/>
      <color indexed="10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i/>
      <sz val="9"/>
      <color indexed="8"/>
      <name val="Cambria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55" applyFont="1" applyAlignment="1">
      <alignment horizontal="left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5" fillId="0" borderId="0" xfId="55" applyFont="1">
      <alignment/>
      <protection/>
    </xf>
    <xf numFmtId="0" fontId="6" fillId="0" borderId="0" xfId="55" applyFont="1">
      <alignment/>
      <protection/>
    </xf>
    <xf numFmtId="0" fontId="4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3" fontId="4" fillId="0" borderId="10" xfId="55" applyNumberFormat="1" applyFont="1" applyBorder="1" applyAlignment="1">
      <alignment horizontal="right" vertical="center" wrapText="1"/>
      <protection/>
    </xf>
    <xf numFmtId="3" fontId="3" fillId="33" borderId="10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left" vertical="center" wrapText="1"/>
      <protection/>
    </xf>
    <xf numFmtId="3" fontId="3" fillId="0" borderId="10" xfId="55" applyNumberFormat="1" applyFont="1" applyBorder="1" applyAlignment="1">
      <alignment horizontal="right" vertical="center" wrapText="1"/>
      <protection/>
    </xf>
    <xf numFmtId="49" fontId="3" fillId="0" borderId="11" xfId="55" applyNumberFormat="1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 wrapText="1"/>
      <protection/>
    </xf>
    <xf numFmtId="0" fontId="3" fillId="0" borderId="11" xfId="55" applyFont="1" applyBorder="1" applyAlignment="1">
      <alignment horizontal="center" vertical="center" wrapText="1"/>
      <protection/>
    </xf>
    <xf numFmtId="3" fontId="3" fillId="0" borderId="12" xfId="55" applyNumberFormat="1" applyFont="1" applyBorder="1" applyAlignment="1">
      <alignment horizontal="right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3" xfId="55" applyFont="1" applyBorder="1" applyAlignment="1">
      <alignment horizontal="center" vertical="center"/>
      <protection/>
    </xf>
    <xf numFmtId="0" fontId="3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3" fillId="0" borderId="15" xfId="55" applyFont="1" applyBorder="1" applyAlignment="1">
      <alignment horizontal="center" vertical="center" wrapText="1"/>
      <protection/>
    </xf>
    <xf numFmtId="0" fontId="3" fillId="0" borderId="16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/>
      <protection/>
    </xf>
    <xf numFmtId="0" fontId="3" fillId="0" borderId="15" xfId="55" applyFont="1" applyBorder="1" applyAlignment="1">
      <alignment horizontal="center" vertical="center"/>
      <protection/>
    </xf>
    <xf numFmtId="0" fontId="4" fillId="0" borderId="15" xfId="55" applyFont="1" applyBorder="1" applyAlignment="1">
      <alignment horizontal="center" vertical="center" wrapText="1"/>
      <protection/>
    </xf>
    <xf numFmtId="3" fontId="9" fillId="0" borderId="10" xfId="0" applyNumberFormat="1" applyFont="1" applyBorder="1" applyAlignment="1">
      <alignment horizontal="right" vertical="center" wrapText="1"/>
    </xf>
    <xf numFmtId="0" fontId="3" fillId="0" borderId="17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2" xfId="5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 wrapText="1"/>
    </xf>
    <xf numFmtId="0" fontId="3" fillId="0" borderId="14" xfId="55" applyFont="1" applyBorder="1" applyAlignment="1">
      <alignment horizontal="center" vertical="center"/>
      <protection/>
    </xf>
    <xf numFmtId="3" fontId="10" fillId="0" borderId="10" xfId="0" applyNumberFormat="1" applyFont="1" applyBorder="1" applyAlignment="1">
      <alignment horizontal="right" vertical="center" wrapText="1"/>
    </xf>
    <xf numFmtId="49" fontId="3" fillId="0" borderId="10" xfId="55" applyNumberFormat="1" applyFont="1" applyBorder="1" applyAlignment="1">
      <alignment horizontal="center" vertical="center" wrapText="1"/>
      <protection/>
    </xf>
    <xf numFmtId="3" fontId="3" fillId="34" borderId="10" xfId="55" applyNumberFormat="1" applyFont="1" applyFill="1" applyBorder="1" applyAlignment="1">
      <alignment horizontal="right" vertical="center" wrapText="1"/>
      <protection/>
    </xf>
    <xf numFmtId="3" fontId="4" fillId="0" borderId="12" xfId="55" applyNumberFormat="1" applyFont="1" applyBorder="1" applyAlignment="1">
      <alignment horizontal="right" vertical="center" wrapText="1"/>
      <protection/>
    </xf>
    <xf numFmtId="0" fontId="3" fillId="0" borderId="19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center" vertical="center"/>
      <protection/>
    </xf>
    <xf numFmtId="0" fontId="10" fillId="0" borderId="10" xfId="0" applyFont="1" applyBorder="1" applyAlignment="1">
      <alignment/>
    </xf>
    <xf numFmtId="3" fontId="3" fillId="35" borderId="10" xfId="55" applyNumberFormat="1" applyFont="1" applyFill="1" applyBorder="1" applyAlignment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right" vertical="center" wrapText="1"/>
      <protection/>
    </xf>
    <xf numFmtId="0" fontId="11" fillId="0" borderId="0" xfId="55" applyFont="1">
      <alignment/>
      <protection/>
    </xf>
    <xf numFmtId="0" fontId="4" fillId="0" borderId="0" xfId="55" applyFont="1" applyAlignment="1">
      <alignment horizontal="left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3" fillId="35" borderId="13" xfId="55" applyFont="1" applyFill="1" applyBorder="1" applyAlignment="1" applyProtection="1">
      <alignment horizontal="center" vertical="center" wrapText="1"/>
      <protection/>
    </xf>
    <xf numFmtId="164" fontId="3" fillId="35" borderId="10" xfId="0" applyNumberFormat="1" applyFont="1" applyFill="1" applyBorder="1" applyAlignment="1">
      <alignment horizontal="right" vertical="center" wrapText="1"/>
    </xf>
    <xf numFmtId="3" fontId="3" fillId="35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right" vertical="center" wrapText="1"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4" fillId="0" borderId="11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vertical="center" wrapText="1"/>
      <protection/>
    </xf>
    <xf numFmtId="0" fontId="4" fillId="0" borderId="18" xfId="55" applyFont="1" applyBorder="1" applyAlignment="1" applyProtection="1">
      <alignment horizontal="center" vertical="center" wrapText="1"/>
      <protection/>
    </xf>
    <xf numFmtId="3" fontId="3" fillId="0" borderId="10" xfId="55" applyNumberFormat="1" applyFont="1" applyBorder="1" applyAlignment="1">
      <alignment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0" xfId="0" applyNumberFormat="1" applyFont="1" applyBorder="1" applyAlignment="1">
      <alignment wrapText="1"/>
    </xf>
    <xf numFmtId="0" fontId="4" fillId="0" borderId="15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 applyProtection="1">
      <alignment horizontal="center" vertical="center" wrapText="1"/>
      <protection/>
    </xf>
    <xf numFmtId="0" fontId="3" fillId="0" borderId="14" xfId="55" applyFont="1" applyBorder="1" applyAlignment="1">
      <alignment horizontal="center" vertical="center" wrapText="1"/>
      <protection/>
    </xf>
    <xf numFmtId="3" fontId="3" fillId="0" borderId="10" xfId="55" applyNumberFormat="1" applyFont="1" applyFill="1" applyBorder="1" applyAlignment="1">
      <alignment horizontal="right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3" fillId="0" borderId="18" xfId="55" applyFont="1" applyBorder="1" applyAlignment="1">
      <alignment horizontal="center" vertical="center" wrapText="1"/>
      <protection/>
    </xf>
    <xf numFmtId="0" fontId="4" fillId="0" borderId="17" xfId="55" applyFont="1" applyBorder="1" applyAlignment="1" applyProtection="1">
      <alignment vertical="center" wrapText="1"/>
      <protection/>
    </xf>
    <xf numFmtId="0" fontId="4" fillId="0" borderId="18" xfId="55" applyFont="1" applyBorder="1" applyAlignment="1">
      <alignment/>
      <protection/>
    </xf>
    <xf numFmtId="0" fontId="3" fillId="0" borderId="12" xfId="55" applyFont="1" applyBorder="1" applyAlignment="1" applyProtection="1">
      <alignment horizontal="center" vertical="center" wrapText="1"/>
      <protection/>
    </xf>
    <xf numFmtId="0" fontId="4" fillId="0" borderId="16" xfId="55" applyFont="1" applyBorder="1" applyAlignment="1" applyProtection="1">
      <alignment vertical="center" wrapText="1"/>
      <protection/>
    </xf>
    <xf numFmtId="0" fontId="4" fillId="0" borderId="15" xfId="55" applyFont="1" applyBorder="1" applyAlignment="1">
      <alignment/>
      <protection/>
    </xf>
    <xf numFmtId="0" fontId="12" fillId="0" borderId="11" xfId="55" applyFont="1" applyBorder="1" applyAlignment="1">
      <alignment vertical="center" wrapText="1"/>
      <protection/>
    </xf>
    <xf numFmtId="3" fontId="12" fillId="0" borderId="10" xfId="55" applyNumberFormat="1" applyFont="1" applyBorder="1" applyAlignment="1">
      <alignment vertical="center" wrapText="1"/>
      <protection/>
    </xf>
    <xf numFmtId="0" fontId="4" fillId="0" borderId="14" xfId="55" applyFont="1" applyBorder="1" applyAlignment="1" applyProtection="1">
      <alignment vertical="center" wrapText="1"/>
      <protection/>
    </xf>
    <xf numFmtId="0" fontId="4" fillId="0" borderId="13" xfId="55" applyFont="1" applyBorder="1" applyAlignment="1">
      <alignment/>
      <protection/>
    </xf>
    <xf numFmtId="0" fontId="3" fillId="0" borderId="15" xfId="55" applyFont="1" applyBorder="1" applyAlignment="1" applyProtection="1">
      <alignment horizontal="center" vertical="center" wrapText="1"/>
      <protection/>
    </xf>
    <xf numFmtId="0" fontId="4" fillId="0" borderId="19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/>
      <protection/>
    </xf>
    <xf numFmtId="3" fontId="4" fillId="0" borderId="11" xfId="55" applyNumberFormat="1" applyFont="1" applyBorder="1" applyAlignment="1">
      <alignment vertical="center" wrapText="1"/>
      <protection/>
    </xf>
    <xf numFmtId="0" fontId="3" fillId="0" borderId="13" xfId="55" applyFont="1" applyBorder="1" applyAlignment="1" applyProtection="1">
      <alignment horizontal="center" vertical="center" wrapText="1"/>
      <protection/>
    </xf>
    <xf numFmtId="0" fontId="4" fillId="0" borderId="13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2" xfId="55" applyNumberFormat="1" applyFont="1" applyFill="1" applyBorder="1" applyAlignment="1">
      <alignment horizontal="right" vertical="center" wrapText="1"/>
      <protection/>
    </xf>
    <xf numFmtId="3" fontId="3" fillId="0" borderId="19" xfId="55" applyNumberFormat="1" applyFont="1" applyFill="1" applyBorder="1" applyAlignment="1">
      <alignment horizontal="right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4" fillId="0" borderId="10" xfId="55" applyFont="1" applyBorder="1">
      <alignment/>
      <protection/>
    </xf>
    <xf numFmtId="0" fontId="3" fillId="35" borderId="10" xfId="55" applyFont="1" applyFill="1" applyBorder="1" applyAlignment="1" applyProtection="1">
      <alignment horizontal="center" vertical="center" wrapText="1"/>
      <protection/>
    </xf>
    <xf numFmtId="164" fontId="3" fillId="35" borderId="10" xfId="55" applyNumberFormat="1" applyFont="1" applyFill="1" applyBorder="1" applyAlignment="1">
      <alignment horizontal="right" vertical="center" wrapText="1"/>
      <protection/>
    </xf>
    <xf numFmtId="164" fontId="3" fillId="35" borderId="11" xfId="0" applyNumberFormat="1" applyFont="1" applyFill="1" applyBorder="1" applyAlignment="1">
      <alignment horizontal="right" vertical="center" wrapText="1"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3" fillId="0" borderId="11" xfId="55" applyNumberFormat="1" applyFont="1" applyBorder="1" applyAlignment="1">
      <alignment vertical="center" wrapText="1"/>
      <protection/>
    </xf>
    <xf numFmtId="3" fontId="3" fillId="0" borderId="12" xfId="55" applyNumberFormat="1" applyFont="1" applyFill="1" applyBorder="1" applyAlignment="1">
      <alignment horizontal="left" vertical="center" wrapText="1"/>
      <protection/>
    </xf>
    <xf numFmtId="0" fontId="3" fillId="0" borderId="11" xfId="55" applyFont="1" applyBorder="1" applyAlignment="1">
      <alignment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4" fillId="0" borderId="10" xfId="55" applyNumberFormat="1" applyFont="1" applyBorder="1" applyAlignment="1" applyProtection="1">
      <alignment horizontal="center" vertical="center" wrapText="1"/>
      <protection/>
    </xf>
    <xf numFmtId="0" fontId="3" fillId="0" borderId="11" xfId="55" applyFont="1" applyFill="1" applyBorder="1" applyAlignment="1">
      <alignment vertical="center" wrapText="1"/>
      <protection/>
    </xf>
    <xf numFmtId="3" fontId="3" fillId="0" borderId="11" xfId="55" applyNumberFormat="1" applyFont="1" applyFill="1" applyBorder="1" applyAlignment="1">
      <alignment vertical="center" wrapText="1"/>
      <protection/>
    </xf>
    <xf numFmtId="3" fontId="3" fillId="0" borderId="10" xfId="55" applyNumberFormat="1" applyFont="1" applyFill="1" applyBorder="1" applyAlignment="1">
      <alignment vertical="center" wrapText="1"/>
      <protection/>
    </xf>
    <xf numFmtId="49" fontId="3" fillId="0" borderId="11" xfId="55" applyNumberFormat="1" applyFont="1" applyBorder="1" applyAlignment="1">
      <alignment horizontal="center" vertical="center" wrapText="1"/>
      <protection/>
    </xf>
    <xf numFmtId="3" fontId="4" fillId="0" borderId="0" xfId="55" applyNumberFormat="1" applyFont="1" applyBorder="1" applyAlignment="1">
      <alignment vertical="center" wrapText="1"/>
      <protection/>
    </xf>
    <xf numFmtId="49" fontId="3" fillId="0" borderId="0" xfId="55" applyNumberFormat="1" applyFont="1" applyBorder="1" applyAlignment="1" applyProtection="1">
      <alignment horizontal="center" vertical="center" wrapText="1"/>
      <protection/>
    </xf>
    <xf numFmtId="0" fontId="4" fillId="0" borderId="18" xfId="55" applyFont="1" applyBorder="1">
      <alignment/>
      <protection/>
    </xf>
    <xf numFmtId="0" fontId="4" fillId="0" borderId="16" xfId="55" applyFont="1" applyBorder="1" applyAlignment="1">
      <alignment/>
      <protection/>
    </xf>
    <xf numFmtId="49" fontId="4" fillId="0" borderId="12" xfId="55" applyNumberFormat="1" applyFont="1" applyBorder="1" applyAlignment="1" applyProtection="1">
      <alignment horizontal="center" vertical="center" wrapText="1"/>
      <protection/>
    </xf>
    <xf numFmtId="3" fontId="4" fillId="0" borderId="10" xfId="55" applyNumberFormat="1" applyFont="1" applyFill="1" applyBorder="1" applyAlignment="1">
      <alignment vertical="center" wrapText="1"/>
      <protection/>
    </xf>
    <xf numFmtId="49" fontId="3" fillId="0" borderId="13" xfId="55" applyNumberFormat="1" applyFont="1" applyBorder="1" applyAlignment="1" applyProtection="1">
      <alignment horizontal="center" vertical="center" wrapText="1"/>
      <protection/>
    </xf>
    <xf numFmtId="3" fontId="4" fillId="0" borderId="11" xfId="55" applyNumberFormat="1" applyFont="1" applyFill="1" applyBorder="1" applyAlignment="1">
      <alignment vertical="center" wrapText="1"/>
      <protection/>
    </xf>
    <xf numFmtId="0" fontId="4" fillId="0" borderId="13" xfId="55" applyFont="1" applyBorder="1">
      <alignment/>
      <protection/>
    </xf>
    <xf numFmtId="0" fontId="13" fillId="0" borderId="10" xfId="55" applyFont="1" applyBorder="1" applyAlignment="1">
      <alignment horizontal="center" vertical="center" wrapText="1"/>
      <protection/>
    </xf>
    <xf numFmtId="3" fontId="13" fillId="0" borderId="11" xfId="55" applyNumberFormat="1" applyFont="1" applyFill="1" applyBorder="1" applyAlignment="1">
      <alignment vertical="center" wrapText="1"/>
      <protection/>
    </xf>
    <xf numFmtId="0" fontId="3" fillId="0" borderId="18" xfId="55" applyFont="1" applyBorder="1" applyAlignment="1">
      <alignment horizontal="center" vertical="center"/>
      <protection/>
    </xf>
    <xf numFmtId="3" fontId="3" fillId="0" borderId="19" xfId="55" applyNumberFormat="1" applyFont="1" applyBorder="1" applyAlignment="1">
      <alignment horizontal="right" vertical="center" wrapText="1"/>
      <protection/>
    </xf>
    <xf numFmtId="0" fontId="4" fillId="0" borderId="18" xfId="55" applyFont="1" applyBorder="1" applyAlignment="1" applyProtection="1">
      <alignment vertical="center" wrapText="1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5" xfId="55" applyFont="1" applyBorder="1" applyAlignment="1" applyProtection="1">
      <alignment vertical="center" wrapText="1"/>
      <protection/>
    </xf>
    <xf numFmtId="0" fontId="4" fillId="36" borderId="10" xfId="55" applyFont="1" applyFill="1" applyBorder="1" applyAlignment="1">
      <alignment horizontal="center" vertical="center" wrapText="1"/>
      <protection/>
    </xf>
    <xf numFmtId="0" fontId="3" fillId="36" borderId="10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 applyProtection="1">
      <alignment vertical="center" wrapText="1"/>
      <protection/>
    </xf>
    <xf numFmtId="0" fontId="4" fillId="0" borderId="0" xfId="55" applyFont="1" applyFill="1">
      <alignment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0" fontId="2" fillId="0" borderId="0" xfId="0" applyFont="1" applyFill="1" applyAlignment="1">
      <alignment/>
    </xf>
    <xf numFmtId="164" fontId="3" fillId="0" borderId="10" xfId="55" applyNumberFormat="1" applyFont="1" applyBorder="1" applyAlignment="1">
      <alignment horizontal="right" vertical="center" wrapText="1"/>
      <protection/>
    </xf>
    <xf numFmtId="164" fontId="3" fillId="0" borderId="1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0" fontId="14" fillId="0" borderId="10" xfId="55" applyFont="1" applyBorder="1" applyAlignment="1">
      <alignment horizontal="center" vertical="center" wrapText="1"/>
      <protection/>
    </xf>
    <xf numFmtId="3" fontId="14" fillId="0" borderId="10" xfId="55" applyNumberFormat="1" applyFont="1" applyBorder="1" applyAlignment="1">
      <alignment vertical="center" wrapText="1"/>
      <protection/>
    </xf>
    <xf numFmtId="0" fontId="4" fillId="0" borderId="13" xfId="55" applyFont="1" applyBorder="1" applyAlignment="1" applyProtection="1">
      <alignment vertical="center" wrapText="1"/>
      <protection/>
    </xf>
    <xf numFmtId="0" fontId="4" fillId="0" borderId="12" xfId="55" applyFont="1" applyBorder="1" applyAlignment="1">
      <alignment/>
      <protection/>
    </xf>
    <xf numFmtId="164" fontId="3" fillId="0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55" applyNumberFormat="1" applyFont="1" applyFill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0" applyNumberFormat="1" applyFont="1" applyAlignment="1">
      <alignment/>
    </xf>
    <xf numFmtId="0" fontId="4" fillId="0" borderId="12" xfId="55" applyFont="1" applyBorder="1">
      <alignment/>
      <protection/>
    </xf>
    <xf numFmtId="164" fontId="3" fillId="0" borderId="10" xfId="55" applyNumberFormat="1" applyFont="1" applyBorder="1" applyAlignment="1" applyProtection="1">
      <alignment horizontal="right" vertical="center" wrapText="1"/>
      <protection locked="0"/>
    </xf>
    <xf numFmtId="164" fontId="3" fillId="0" borderId="11" xfId="55" applyNumberFormat="1" applyFont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Border="1" applyAlignment="1" applyProtection="1">
      <alignment horizontal="right" vertical="center" wrapText="1"/>
      <protection locked="0"/>
    </xf>
    <xf numFmtId="49" fontId="3" fillId="0" borderId="12" xfId="55" applyNumberFormat="1" applyFont="1" applyBorder="1" applyAlignment="1" applyProtection="1">
      <alignment vertical="center" wrapText="1"/>
      <protection/>
    </xf>
    <xf numFmtId="3" fontId="3" fillId="0" borderId="11" xfId="55" applyNumberFormat="1" applyFont="1" applyBorder="1" applyAlignment="1">
      <alignment horizontal="right" vertical="center" wrapText="1"/>
      <protection/>
    </xf>
    <xf numFmtId="49" fontId="3" fillId="0" borderId="20" xfId="55" applyNumberFormat="1" applyFont="1" applyBorder="1" applyAlignment="1" applyProtection="1">
      <alignment vertical="center" wrapText="1"/>
      <protection/>
    </xf>
    <xf numFmtId="49" fontId="3" fillId="0" borderId="21" xfId="55" applyNumberFormat="1" applyFont="1" applyBorder="1" applyAlignment="1" applyProtection="1">
      <alignment vertical="center" wrapText="1"/>
      <protection/>
    </xf>
    <xf numFmtId="0" fontId="15" fillId="0" borderId="10" xfId="55" applyFont="1" applyBorder="1" applyAlignment="1">
      <alignment vertical="center" wrapText="1"/>
      <protection/>
    </xf>
    <xf numFmtId="3" fontId="15" fillId="0" borderId="10" xfId="55" applyNumberFormat="1" applyFont="1" applyBorder="1" applyAlignment="1">
      <alignment vertical="center" wrapText="1"/>
      <protection/>
    </xf>
    <xf numFmtId="3" fontId="15" fillId="0" borderId="11" xfId="55" applyNumberFormat="1" applyFont="1" applyBorder="1" applyAlignment="1">
      <alignment vertical="center" wrapText="1"/>
      <protection/>
    </xf>
    <xf numFmtId="49" fontId="3" fillId="0" borderId="15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vertical="center" wrapText="1"/>
      <protection/>
    </xf>
    <xf numFmtId="3" fontId="4" fillId="0" borderId="12" xfId="55" applyNumberFormat="1" applyFont="1" applyBorder="1" applyAlignment="1">
      <alignment vertical="center" wrapText="1"/>
      <protection/>
    </xf>
    <xf numFmtId="3" fontId="4" fillId="0" borderId="19" xfId="55" applyNumberFormat="1" applyFont="1" applyBorder="1" applyAlignment="1">
      <alignment vertical="center" wrapText="1"/>
      <protection/>
    </xf>
    <xf numFmtId="0" fontId="3" fillId="35" borderId="10" xfId="55" applyFont="1" applyFill="1" applyBorder="1" applyAlignment="1">
      <alignment horizontal="center" vertical="center"/>
      <protection/>
    </xf>
    <xf numFmtId="0" fontId="3" fillId="35" borderId="10" xfId="55" applyFont="1" applyFill="1" applyBorder="1" applyAlignment="1">
      <alignment horizontal="center" vertical="center" wrapText="1"/>
      <protection/>
    </xf>
    <xf numFmtId="0" fontId="3" fillId="35" borderId="11" xfId="55" applyFont="1" applyFill="1" applyBorder="1" applyAlignment="1">
      <alignment horizontal="center" vertical="center" wrapText="1"/>
      <protection/>
    </xf>
    <xf numFmtId="3" fontId="3" fillId="35" borderId="10" xfId="55" applyNumberFormat="1" applyFont="1" applyFill="1" applyBorder="1" applyAlignment="1">
      <alignment vertical="center" wrapText="1"/>
      <protection/>
    </xf>
    <xf numFmtId="3" fontId="3" fillId="35" borderId="19" xfId="55" applyNumberFormat="1" applyFont="1" applyFill="1" applyBorder="1" applyAlignment="1">
      <alignment horizontal="right" vertical="center" wrapText="1"/>
      <protection/>
    </xf>
    <xf numFmtId="49" fontId="3" fillId="0" borderId="10" xfId="55" applyNumberFormat="1" applyFont="1" applyBorder="1" applyAlignment="1" applyProtection="1">
      <alignment horizontal="right" vertical="center" wrapText="1"/>
      <protection/>
    </xf>
    <xf numFmtId="3" fontId="3" fillId="35" borderId="12" xfId="55" applyNumberFormat="1" applyFont="1" applyFill="1" applyBorder="1" applyAlignment="1">
      <alignment horizontal="left" vertical="center" wrapText="1"/>
      <protection/>
    </xf>
    <xf numFmtId="3" fontId="3" fillId="35" borderId="19" xfId="55" applyNumberFormat="1" applyFont="1" applyFill="1" applyBorder="1" applyAlignment="1">
      <alignment horizontal="left" vertical="center" wrapText="1"/>
      <protection/>
    </xf>
    <xf numFmtId="49" fontId="4" fillId="0" borderId="11" xfId="55" applyNumberFormat="1" applyFont="1" applyBorder="1" applyAlignment="1" applyProtection="1">
      <alignment horizontal="center" vertical="center" wrapText="1"/>
      <protection/>
    </xf>
    <xf numFmtId="49" fontId="3" fillId="35" borderId="10" xfId="55" applyNumberFormat="1" applyFont="1" applyFill="1" applyBorder="1" applyAlignment="1" applyProtection="1">
      <alignment horizontal="center" vertical="center" wrapText="1"/>
      <protection/>
    </xf>
    <xf numFmtId="49" fontId="3" fillId="35" borderId="11" xfId="55" applyNumberFormat="1" applyFont="1" applyFill="1" applyBorder="1" applyAlignment="1" applyProtection="1">
      <alignment horizontal="center" vertical="center" wrapText="1"/>
      <protection/>
    </xf>
    <xf numFmtId="0" fontId="3" fillId="35" borderId="12" xfId="55" applyFont="1" applyFill="1" applyBorder="1" applyAlignment="1">
      <alignment horizontal="left" vertical="center" wrapText="1"/>
      <protection/>
    </xf>
    <xf numFmtId="3" fontId="4" fillId="35" borderId="10" xfId="55" applyNumberFormat="1" applyFont="1" applyFill="1" applyBorder="1" applyAlignment="1">
      <alignment vertical="center" wrapText="1"/>
      <protection/>
    </xf>
    <xf numFmtId="0" fontId="4" fillId="35" borderId="10" xfId="55" applyFont="1" applyFill="1" applyBorder="1" applyAlignment="1">
      <alignment horizontal="center" vertical="center" wrapText="1"/>
      <protection/>
    </xf>
    <xf numFmtId="0" fontId="4" fillId="35" borderId="12" xfId="55" applyFont="1" applyFill="1" applyBorder="1" applyAlignment="1">
      <alignment horizontal="left" vertical="center" wrapText="1"/>
      <protection/>
    </xf>
    <xf numFmtId="3" fontId="4" fillId="35" borderId="12" xfId="55" applyNumberFormat="1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 applyProtection="1">
      <alignment horizontal="center" vertical="center" wrapText="1"/>
      <protection/>
    </xf>
    <xf numFmtId="49" fontId="3" fillId="0" borderId="10" xfId="55" applyNumberFormat="1" applyFont="1" applyFill="1" applyBorder="1" applyAlignment="1" applyProtection="1">
      <alignment horizontal="center" vertical="center" wrapText="1"/>
      <protection/>
    </xf>
    <xf numFmtId="49" fontId="4" fillId="0" borderId="11" xfId="55" applyNumberFormat="1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 applyProtection="1">
      <alignment horizontal="center" vertical="center" wrapText="1"/>
      <protection/>
    </xf>
    <xf numFmtId="3" fontId="3" fillId="0" borderId="11" xfId="55" applyNumberFormat="1" applyFont="1" applyFill="1" applyBorder="1" applyAlignment="1">
      <alignment horizontal="right" vertical="center" wrapText="1"/>
      <protection/>
    </xf>
    <xf numFmtId="3" fontId="4" fillId="0" borderId="11" xfId="55" applyNumberFormat="1" applyFont="1" applyFill="1" applyBorder="1" applyAlignment="1">
      <alignment horizontal="right" vertical="center" wrapText="1"/>
      <protection/>
    </xf>
    <xf numFmtId="3" fontId="16" fillId="0" borderId="10" xfId="55" applyNumberFormat="1" applyFont="1" applyBorder="1" applyAlignment="1">
      <alignment horizontal="right" vertical="center" wrapText="1"/>
      <protection/>
    </xf>
    <xf numFmtId="0" fontId="4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3" fontId="4" fillId="0" borderId="0" xfId="55" applyNumberFormat="1" applyFont="1">
      <alignment/>
      <protection/>
    </xf>
    <xf numFmtId="0" fontId="17" fillId="0" borderId="0" xfId="55" applyFont="1" applyFill="1" applyBorder="1" applyAlignment="1">
      <alignment horizontal="right" vertical="center"/>
      <protection/>
    </xf>
    <xf numFmtId="3" fontId="17" fillId="0" borderId="0" xfId="55" applyNumberFormat="1" applyFont="1" applyFill="1" applyBorder="1" applyAlignment="1">
      <alignment horizontal="right" vertical="center"/>
      <protection/>
    </xf>
    <xf numFmtId="164" fontId="4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3" fontId="2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164" fontId="4" fillId="0" borderId="10" xfId="55" applyNumberFormat="1" applyFont="1" applyBorder="1" applyAlignment="1">
      <alignment horizontal="right" vertical="center" wrapText="1"/>
      <protection/>
    </xf>
    <xf numFmtId="3" fontId="8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10" xfId="5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55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35" borderId="10" xfId="0" applyNumberFormat="1" applyFont="1" applyFill="1" applyBorder="1" applyAlignment="1">
      <alignment horizontal="right" vertical="center" wrapText="1"/>
    </xf>
    <xf numFmtId="3" fontId="8" fillId="35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164" fontId="4" fillId="35" borderId="10" xfId="55" applyNumberFormat="1" applyFont="1" applyFill="1" applyBorder="1" applyAlignment="1">
      <alignment horizontal="right" vertical="center" wrapText="1"/>
      <protection/>
    </xf>
    <xf numFmtId="164" fontId="4" fillId="35" borderId="11" xfId="55" applyNumberFormat="1" applyFont="1" applyFill="1" applyBorder="1" applyAlignment="1">
      <alignment horizontal="right" vertical="center" wrapText="1"/>
      <protection/>
    </xf>
    <xf numFmtId="164" fontId="4" fillId="35" borderId="11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 horizontal="right" vertical="center" wrapText="1"/>
    </xf>
    <xf numFmtId="164" fontId="4" fillId="0" borderId="11" xfId="55" applyNumberFormat="1" applyFont="1" applyFill="1" applyBorder="1" applyAlignment="1">
      <alignment horizontal="right" vertical="center" wrapText="1"/>
      <protection/>
    </xf>
    <xf numFmtId="164" fontId="3" fillId="0" borderId="11" xfId="55" applyNumberFormat="1" applyFont="1" applyFill="1" applyBorder="1" applyAlignment="1">
      <alignment horizontal="right" vertical="center" wrapText="1"/>
      <protection/>
    </xf>
    <xf numFmtId="164" fontId="4" fillId="0" borderId="11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164" fontId="4" fillId="0" borderId="10" xfId="55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55" applyNumberFormat="1" applyFont="1" applyFill="1" applyBorder="1" applyAlignment="1" applyProtection="1">
      <alignment horizontal="right" vertical="center" wrapText="1"/>
      <protection locked="0"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164" fontId="3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55" applyFont="1" applyBorder="1" applyAlignment="1">
      <alignment vertical="center" wrapText="1"/>
      <protection/>
    </xf>
    <xf numFmtId="0" fontId="4" fillId="0" borderId="11" xfId="55" applyFont="1" applyBorder="1">
      <alignment/>
      <protection/>
    </xf>
    <xf numFmtId="164" fontId="4" fillId="0" borderId="10" xfId="55" applyNumberFormat="1" applyFont="1" applyBorder="1" applyAlignment="1" applyProtection="1">
      <alignment horizontal="righ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1" xfId="55" applyNumberFormat="1" applyFont="1" applyBorder="1" applyAlignment="1" applyProtection="1">
      <alignment horizontal="right" vertical="center" wrapText="1"/>
      <protection locked="0"/>
    </xf>
    <xf numFmtId="164" fontId="6" fillId="0" borderId="10" xfId="55" applyNumberFormat="1" applyFont="1" applyFill="1" applyBorder="1" applyAlignment="1">
      <alignment horizontal="right" vertical="center" wrapText="1"/>
      <protection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55" applyNumberFormat="1" applyFont="1" applyFill="1" applyBorder="1" applyAlignment="1">
      <alignment horizontal="right" vertical="center" wrapText="1"/>
      <protection/>
    </xf>
    <xf numFmtId="3" fontId="21" fillId="0" borderId="10" xfId="0" applyNumberFormat="1" applyFont="1" applyBorder="1" applyAlignment="1">
      <alignment vertical="center"/>
    </xf>
    <xf numFmtId="164" fontId="3" fillId="0" borderId="10" xfId="55" applyNumberFormat="1" applyFont="1" applyBorder="1" applyAlignment="1">
      <alignment vertical="center"/>
      <protection/>
    </xf>
    <xf numFmtId="164" fontId="3" fillId="0" borderId="11" xfId="55" applyNumberFormat="1" applyFont="1" applyBorder="1" applyAlignment="1">
      <alignment vertical="center"/>
      <protection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55" applyFont="1" applyBorder="1" applyAlignment="1">
      <alignment/>
      <protection/>
    </xf>
    <xf numFmtId="49" fontId="3" fillId="0" borderId="10" xfId="55" applyNumberFormat="1" applyFont="1" applyBorder="1" applyAlignment="1" applyProtection="1">
      <alignment vertical="center" wrapText="1"/>
      <protection/>
    </xf>
    <xf numFmtId="0" fontId="4" fillId="35" borderId="11" xfId="55" applyFont="1" applyFill="1" applyBorder="1" applyAlignment="1">
      <alignment horizontal="center" vertical="center" wrapText="1"/>
      <protection/>
    </xf>
    <xf numFmtId="164" fontId="3" fillId="35" borderId="10" xfId="55" applyNumberFormat="1" applyFont="1" applyFill="1" applyBorder="1" applyAlignment="1" applyProtection="1">
      <alignment horizontal="right" vertical="center" wrapText="1"/>
      <protection locked="0"/>
    </xf>
    <xf numFmtId="164" fontId="3" fillId="35" borderId="11" xfId="55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5" applyNumberFormat="1" applyFont="1" applyBorder="1" applyAlignment="1" applyProtection="1">
      <alignment horizontal="right" vertical="center" wrapText="1"/>
      <protection locked="0"/>
    </xf>
    <xf numFmtId="3" fontId="2" fillId="0" borderId="11" xfId="0" applyNumberFormat="1" applyFont="1" applyBorder="1" applyAlignment="1">
      <alignment/>
    </xf>
    <xf numFmtId="49" fontId="3" fillId="0" borderId="11" xfId="55" applyNumberFormat="1" applyFont="1" applyBorder="1" applyAlignment="1" applyProtection="1">
      <alignment horizontal="center" vertical="center" wrapText="1"/>
      <protection/>
    </xf>
    <xf numFmtId="49" fontId="4" fillId="35" borderId="11" xfId="55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>
      <alignment/>
    </xf>
    <xf numFmtId="3" fontId="2" fillId="35" borderId="10" xfId="0" applyNumberFormat="1" applyFont="1" applyFill="1" applyBorder="1" applyAlignment="1">
      <alignment vertical="center"/>
    </xf>
    <xf numFmtId="0" fontId="4" fillId="0" borderId="11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horizontal="left" vertical="center" wrapText="1"/>
      <protection/>
    </xf>
    <xf numFmtId="164" fontId="2" fillId="0" borderId="0" xfId="0" applyNumberFormat="1" applyFont="1" applyAlignment="1">
      <alignment/>
    </xf>
    <xf numFmtId="3" fontId="18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3" fillId="37" borderId="10" xfId="55" applyNumberFormat="1" applyFont="1" applyFill="1" applyBorder="1" applyAlignment="1" applyProtection="1">
      <alignment horizontal="right" vertical="center" wrapText="1"/>
      <protection locked="0"/>
    </xf>
    <xf numFmtId="0" fontId="22" fillId="0" borderId="10" xfId="0" applyFont="1" applyBorder="1" applyAlignment="1">
      <alignment/>
    </xf>
    <xf numFmtId="4" fontId="22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164" fontId="4" fillId="37" borderId="10" xfId="55" applyNumberFormat="1" applyFont="1" applyFill="1" applyBorder="1" applyAlignment="1" applyProtection="1">
      <alignment horizontal="right" vertical="center" wrapText="1"/>
      <protection locked="0"/>
    </xf>
    <xf numFmtId="3" fontId="22" fillId="0" borderId="1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3" fontId="3" fillId="37" borderId="10" xfId="0" applyNumberFormat="1" applyFont="1" applyFill="1" applyBorder="1" applyAlignment="1" applyProtection="1">
      <alignment horizontal="right" vertical="center" wrapText="1"/>
      <protection locked="0"/>
    </xf>
    <xf numFmtId="166" fontId="22" fillId="0" borderId="0" xfId="0" applyNumberFormat="1" applyFont="1" applyAlignment="1">
      <alignment/>
    </xf>
    <xf numFmtId="164" fontId="4" fillId="37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8" borderId="0" xfId="0" applyNumberFormat="1" applyFont="1" applyFill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55" applyFont="1" applyBorder="1" applyAlignment="1">
      <alignment horizontal="center" vertical="center" textRotation="90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left" vertical="center" wrapText="1"/>
    </xf>
    <xf numFmtId="0" fontId="3" fillId="35" borderId="10" xfId="55" applyFont="1" applyFill="1" applyBorder="1" applyAlignment="1">
      <alignment horizontal="right" vertical="center" wrapText="1"/>
      <protection/>
    </xf>
    <xf numFmtId="0" fontId="12" fillId="0" borderId="10" xfId="55" applyFont="1" applyBorder="1" applyAlignment="1">
      <alignment horizontal="center" vertical="center" textRotation="90" wrapText="1"/>
      <protection/>
    </xf>
    <xf numFmtId="0" fontId="12" fillId="0" borderId="10" xfId="55" applyFont="1" applyBorder="1" applyAlignment="1">
      <alignment horizontal="center" vertical="center" wrapText="1"/>
      <protection/>
    </xf>
    <xf numFmtId="0" fontId="7" fillId="0" borderId="10" xfId="55" applyFont="1" applyBorder="1" applyAlignment="1">
      <alignment horizontal="center" vertical="center" textRotation="90" wrapText="1"/>
      <protection/>
    </xf>
    <xf numFmtId="0" fontId="7" fillId="0" borderId="10" xfId="55" applyFont="1" applyBorder="1" applyAlignment="1">
      <alignment horizontal="center" vertical="center" wrapText="1"/>
      <protection/>
    </xf>
    <xf numFmtId="0" fontId="4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left" vertical="center" wrapText="1"/>
      <protection/>
    </xf>
    <xf numFmtId="0" fontId="3" fillId="35" borderId="14" xfId="55" applyFont="1" applyFill="1" applyBorder="1" applyAlignment="1">
      <alignment horizontal="left" vertical="center" wrapText="1"/>
      <protection/>
    </xf>
    <xf numFmtId="0" fontId="4" fillId="0" borderId="10" xfId="55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0" fontId="3" fillId="0" borderId="18" xfId="55" applyFont="1" applyBorder="1" applyAlignment="1" applyProtection="1">
      <alignment horizontal="center" vertical="center" wrapText="1"/>
      <protection/>
    </xf>
    <xf numFmtId="0" fontId="4" fillId="0" borderId="18" xfId="55" applyFont="1" applyBorder="1" applyAlignment="1">
      <alignment horizontal="center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>
      <alignment horizontal="left" vertical="center" wrapText="1"/>
      <protection/>
    </xf>
    <xf numFmtId="49" fontId="3" fillId="0" borderId="10" xfId="55" applyNumberFormat="1" applyFont="1" applyBorder="1" applyAlignment="1" applyProtection="1">
      <alignment horizontal="center" vertical="center" wrapText="1"/>
      <protection/>
    </xf>
    <xf numFmtId="49" fontId="3" fillId="0" borderId="18" xfId="55" applyNumberFormat="1" applyFont="1" applyBorder="1" applyAlignment="1" applyProtection="1">
      <alignment horizontal="center" vertical="center" wrapText="1"/>
      <protection/>
    </xf>
    <xf numFmtId="49" fontId="3" fillId="0" borderId="12" xfId="55" applyNumberFormat="1" applyFont="1" applyBorder="1" applyAlignment="1" applyProtection="1">
      <alignment horizontal="center" vertical="center" wrapText="1"/>
      <protection/>
    </xf>
    <xf numFmtId="0" fontId="4" fillId="0" borderId="12" xfId="55" applyFont="1" applyBorder="1" applyAlignment="1">
      <alignment horizontal="center"/>
      <protection/>
    </xf>
    <xf numFmtId="0" fontId="16" fillId="0" borderId="10" xfId="55" applyFont="1" applyBorder="1" applyAlignment="1">
      <alignment horizontal="right" vertical="center" wrapText="1"/>
      <protection/>
    </xf>
    <xf numFmtId="3" fontId="2" fillId="0" borderId="10" xfId="0" applyNumberFormat="1" applyFont="1" applyBorder="1" applyAlignment="1">
      <alignment horizontal="center" vertical="center"/>
    </xf>
    <xf numFmtId="0" fontId="4" fillId="0" borderId="13" xfId="55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35" borderId="13" xfId="55" applyFont="1" applyFill="1" applyBorder="1" applyAlignment="1">
      <alignment horizontal="left" vertical="center" wrapText="1"/>
      <protection/>
    </xf>
    <xf numFmtId="0" fontId="3" fillId="0" borderId="10" xfId="55" applyFont="1" applyBorder="1" applyAlignment="1" applyProtection="1">
      <alignment horizontal="center" vertical="center" wrapText="1"/>
      <protection/>
    </xf>
    <xf numFmtId="3" fontId="2" fillId="0" borderId="0" xfId="0" applyNumberFormat="1" applyFont="1" applyBorder="1" applyAlignment="1">
      <alignment horizontal="right" vertical="center"/>
    </xf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3" fontId="0" fillId="39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ZR_Obrasci_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2"/>
  <sheetViews>
    <sheetView tabSelected="1" zoomScale="80" zoomScaleNormal="80" zoomScalePageLayoutView="0" workbookViewId="0" topLeftCell="A124">
      <selection activeCell="J148" sqref="J148"/>
    </sheetView>
  </sheetViews>
  <sheetFormatPr defaultColWidth="9.140625" defaultRowHeight="15"/>
  <cols>
    <col min="1" max="1" width="3.28125" style="1" customWidth="1"/>
    <col min="2" max="2" width="11.140625" style="1" customWidth="1"/>
    <col min="3" max="3" width="9.140625" style="1" customWidth="1"/>
    <col min="4" max="4" width="9.8515625" style="1" customWidth="1"/>
    <col min="5" max="5" width="45.8515625" style="1" customWidth="1"/>
    <col min="6" max="8" width="12.7109375" style="1" customWidth="1"/>
    <col min="9" max="9" width="14.8515625" style="1" customWidth="1"/>
    <col min="10" max="10" width="12.7109375" style="1" customWidth="1"/>
    <col min="11" max="11" width="12.8515625" style="1" customWidth="1"/>
    <col min="12" max="13" width="0" style="1" hidden="1" customWidth="1"/>
    <col min="14" max="14" width="0" style="2" hidden="1" customWidth="1"/>
    <col min="15" max="46" width="0" style="1" hidden="1" customWidth="1"/>
    <col min="47" max="16384" width="9.140625" style="1" customWidth="1"/>
  </cols>
  <sheetData>
    <row r="1" spans="1:43" ht="18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AL1" s="4"/>
      <c r="AM1" s="4"/>
      <c r="AN1" s="4"/>
      <c r="AO1" s="4"/>
      <c r="AP1" s="4"/>
      <c r="AQ1" s="4"/>
    </row>
    <row r="2" spans="1:43" ht="11.25">
      <c r="A2" s="5"/>
      <c r="B2" s="4"/>
      <c r="C2" s="4"/>
      <c r="D2" s="4"/>
      <c r="E2" s="4"/>
      <c r="F2" s="4"/>
      <c r="G2" s="4"/>
      <c r="H2" s="4"/>
      <c r="I2" s="4"/>
      <c r="J2" s="4"/>
      <c r="K2" s="4"/>
      <c r="AL2" s="4"/>
      <c r="AM2" s="4"/>
      <c r="AN2" s="4"/>
      <c r="AO2" s="4"/>
      <c r="AP2" s="4"/>
      <c r="AQ2" s="4"/>
    </row>
    <row r="3" spans="1:43" ht="8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AL3" s="4"/>
      <c r="AM3" s="4"/>
      <c r="AN3" s="4"/>
      <c r="AO3" s="4"/>
      <c r="AP3" s="4"/>
      <c r="AQ3" s="4"/>
    </row>
    <row r="4" spans="1:43" ht="13.5">
      <c r="A4" s="4"/>
      <c r="B4" s="4"/>
      <c r="C4" s="4"/>
      <c r="D4" s="4"/>
      <c r="E4" s="6" t="s">
        <v>1</v>
      </c>
      <c r="F4" s="6"/>
      <c r="G4" s="6"/>
      <c r="H4" s="6"/>
      <c r="I4" s="6"/>
      <c r="J4" s="6"/>
      <c r="K4" s="6"/>
      <c r="AL4" s="6"/>
      <c r="AM4" s="6"/>
      <c r="AN4" s="6"/>
      <c r="AO4" s="6"/>
      <c r="AP4" s="6"/>
      <c r="AQ4" s="6"/>
    </row>
    <row r="5" spans="1:43" ht="7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AL5" s="4"/>
      <c r="AM5" s="4"/>
      <c r="AN5" s="4"/>
      <c r="AO5" s="4"/>
      <c r="AP5" s="4"/>
      <c r="AQ5" s="4"/>
    </row>
    <row r="6" spans="1:43" ht="11.25">
      <c r="A6" s="7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AL6" s="4"/>
      <c r="AM6" s="4"/>
      <c r="AN6" s="4"/>
      <c r="AO6" s="4"/>
      <c r="AP6" s="4"/>
      <c r="AQ6" s="4"/>
    </row>
    <row r="7" spans="1:43" ht="12" customHeight="1">
      <c r="A7" s="283" t="s">
        <v>3</v>
      </c>
      <c r="B7" s="284" t="s">
        <v>4</v>
      </c>
      <c r="C7" s="283" t="s">
        <v>5</v>
      </c>
      <c r="D7" s="284" t="s">
        <v>6</v>
      </c>
      <c r="E7" s="284" t="s">
        <v>7</v>
      </c>
      <c r="F7" s="284" t="s">
        <v>8</v>
      </c>
      <c r="G7" s="284"/>
      <c r="H7" s="284"/>
      <c r="I7" s="284"/>
      <c r="J7" s="284"/>
      <c r="K7" s="284"/>
      <c r="AL7" s="284" t="s">
        <v>8</v>
      </c>
      <c r="AM7" s="284"/>
      <c r="AN7" s="284"/>
      <c r="AO7" s="284"/>
      <c r="AP7" s="284"/>
      <c r="AQ7" s="284"/>
    </row>
    <row r="8" spans="1:45" ht="12" customHeight="1">
      <c r="A8" s="283"/>
      <c r="B8" s="284"/>
      <c r="C8" s="283"/>
      <c r="D8" s="284"/>
      <c r="E8" s="284"/>
      <c r="F8" s="285" t="s">
        <v>9</v>
      </c>
      <c r="G8" s="284" t="s">
        <v>10</v>
      </c>
      <c r="H8" s="284"/>
      <c r="I8" s="284"/>
      <c r="J8" s="284" t="s">
        <v>11</v>
      </c>
      <c r="K8" s="284" t="s">
        <v>12</v>
      </c>
      <c r="AL8" s="285" t="s">
        <v>9</v>
      </c>
      <c r="AM8" s="284" t="s">
        <v>10</v>
      </c>
      <c r="AN8" s="284"/>
      <c r="AO8" s="284"/>
      <c r="AP8" s="284" t="s">
        <v>11</v>
      </c>
      <c r="AQ8" s="284" t="s">
        <v>12</v>
      </c>
      <c r="AS8" s="1" t="e">
        <f aca="true" t="shared" si="0" ref="AS8:AS37">AL8-AN8-AQ8</f>
        <v>#VALUE!</v>
      </c>
    </row>
    <row r="9" spans="1:45" ht="11.25">
      <c r="A9" s="283"/>
      <c r="B9" s="284"/>
      <c r="C9" s="283"/>
      <c r="D9" s="284"/>
      <c r="E9" s="284"/>
      <c r="F9" s="285"/>
      <c r="G9" s="8" t="s">
        <v>13</v>
      </c>
      <c r="H9" s="8" t="s">
        <v>14</v>
      </c>
      <c r="I9" s="8" t="s">
        <v>15</v>
      </c>
      <c r="J9" s="284"/>
      <c r="K9" s="284"/>
      <c r="AL9" s="285"/>
      <c r="AM9" s="8" t="s">
        <v>13</v>
      </c>
      <c r="AN9" s="8" t="s">
        <v>14</v>
      </c>
      <c r="AO9" s="8" t="s">
        <v>15</v>
      </c>
      <c r="AP9" s="284"/>
      <c r="AQ9" s="284"/>
      <c r="AS9" s="1" t="e">
        <f t="shared" si="0"/>
        <v>#VALUE!</v>
      </c>
    </row>
    <row r="10" spans="1:45" ht="18.75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9" t="s">
        <v>16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  <c r="AL10" s="9" t="s">
        <v>16</v>
      </c>
      <c r="AM10" s="9">
        <v>6</v>
      </c>
      <c r="AN10" s="9">
        <v>7</v>
      </c>
      <c r="AO10" s="9">
        <v>8</v>
      </c>
      <c r="AP10" s="9">
        <v>9</v>
      </c>
      <c r="AQ10" s="9">
        <v>10</v>
      </c>
      <c r="AS10" s="1" t="e">
        <f t="shared" si="0"/>
        <v>#VALUE!</v>
      </c>
    </row>
    <row r="11" spans="1:45" ht="12" customHeight="1">
      <c r="A11" s="10" t="s">
        <v>17</v>
      </c>
      <c r="B11" s="11">
        <v>740000</v>
      </c>
      <c r="C11" s="9"/>
      <c r="D11" s="286" t="s">
        <v>18</v>
      </c>
      <c r="E11" s="286"/>
      <c r="F11" s="13">
        <f>+G11+H11+I11+J11+K11</f>
        <v>9590000</v>
      </c>
      <c r="G11" s="13">
        <f>+G12+G14+G18+G20</f>
        <v>0</v>
      </c>
      <c r="H11" s="13">
        <f>+H12+H14+H18+H20</f>
        <v>0</v>
      </c>
      <c r="I11" s="13">
        <f>+I12+I14+I18+I20</f>
        <v>150000</v>
      </c>
      <c r="J11" s="13">
        <f>+J12+J14+J18+J20</f>
        <v>0</v>
      </c>
      <c r="K11" s="13">
        <f>+K12+K14+K18+K20</f>
        <v>9440000</v>
      </c>
      <c r="AL11" s="14">
        <f>+AM11+AN11+AO11+AP11+AQ11</f>
        <v>9670000</v>
      </c>
      <c r="AM11" s="13">
        <f>+AM12+AM14+AM18+AM20</f>
        <v>0</v>
      </c>
      <c r="AN11" s="13">
        <f>+AN12+AN14+AN18+AN20</f>
        <v>0</v>
      </c>
      <c r="AO11" s="13">
        <f>+AO12+AO14+AO18+AO20</f>
        <v>190000</v>
      </c>
      <c r="AP11" s="13">
        <f>+AP12+AP14+AP18+AP20</f>
        <v>150000</v>
      </c>
      <c r="AQ11" s="13">
        <f>+AQ12+AQ14+AQ18+AQ20+AQ29</f>
        <v>9330000</v>
      </c>
      <c r="AS11" s="1">
        <f t="shared" si="0"/>
        <v>340000</v>
      </c>
    </row>
    <row r="12" spans="1:45" ht="12" customHeight="1">
      <c r="A12" s="10">
        <v>1</v>
      </c>
      <c r="B12" s="15" t="s">
        <v>19</v>
      </c>
      <c r="C12" s="15"/>
      <c r="D12" s="287" t="s">
        <v>20</v>
      </c>
      <c r="E12" s="287"/>
      <c r="F12" s="17">
        <f>+G12+H12+I12+J12+K12</f>
        <v>150000</v>
      </c>
      <c r="G12" s="17">
        <f>+G13</f>
        <v>0</v>
      </c>
      <c r="H12" s="17">
        <f>+H13</f>
        <v>0</v>
      </c>
      <c r="I12" s="17">
        <f>+I13</f>
        <v>150000</v>
      </c>
      <c r="J12" s="17">
        <f>+J13</f>
        <v>0</v>
      </c>
      <c r="K12" s="17">
        <f>+K13</f>
        <v>0</v>
      </c>
      <c r="AL12" s="14">
        <f>+AM12+AN12+AO12+AP12+AQ12</f>
        <v>190000</v>
      </c>
      <c r="AM12" s="17">
        <f>+AM13</f>
        <v>0</v>
      </c>
      <c r="AN12" s="17">
        <f>+AN13</f>
        <v>0</v>
      </c>
      <c r="AO12" s="17">
        <f>+AO13</f>
        <v>190000</v>
      </c>
      <c r="AP12" s="17">
        <f>+AP13</f>
        <v>0</v>
      </c>
      <c r="AQ12" s="17">
        <f>AQ13</f>
        <v>0</v>
      </c>
      <c r="AS12" s="1">
        <f t="shared" si="0"/>
        <v>190000</v>
      </c>
    </row>
    <row r="13" spans="1:45" ht="30.75" customHeight="1">
      <c r="A13" s="10"/>
      <c r="B13" s="15"/>
      <c r="C13" s="18"/>
      <c r="D13" s="8">
        <v>741411</v>
      </c>
      <c r="E13" s="19" t="s">
        <v>21</v>
      </c>
      <c r="F13" s="13">
        <f>G13+H13+I13</f>
        <v>150000</v>
      </c>
      <c r="G13" s="13"/>
      <c r="H13" s="13"/>
      <c r="I13" s="13">
        <v>150000</v>
      </c>
      <c r="J13" s="13"/>
      <c r="K13" s="13"/>
      <c r="AL13" s="13">
        <f>AO13+AP13</f>
        <v>190000</v>
      </c>
      <c r="AM13" s="13"/>
      <c r="AN13" s="13"/>
      <c r="AO13" s="13">
        <v>190000</v>
      </c>
      <c r="AP13" s="13"/>
      <c r="AQ13" s="13"/>
      <c r="AS13" s="1">
        <f t="shared" si="0"/>
        <v>190000</v>
      </c>
    </row>
    <row r="14" spans="1:45" ht="12" customHeight="1">
      <c r="A14" s="10">
        <v>2</v>
      </c>
      <c r="B14" s="11">
        <v>742000</v>
      </c>
      <c r="C14" s="20"/>
      <c r="D14" s="287" t="s">
        <v>22</v>
      </c>
      <c r="E14" s="287"/>
      <c r="F14" s="17">
        <f>G14+H14+I14+J14+K14</f>
        <v>9240000</v>
      </c>
      <c r="G14" s="21">
        <f>+G15+G17</f>
        <v>0</v>
      </c>
      <c r="H14" s="21">
        <f>+H15+H17</f>
        <v>0</v>
      </c>
      <c r="I14" s="21">
        <f>+I15+I17</f>
        <v>0</v>
      </c>
      <c r="J14" s="21">
        <f>+J15+J17</f>
        <v>0</v>
      </c>
      <c r="K14" s="21">
        <f>+K15+K17+K16</f>
        <v>9240000</v>
      </c>
      <c r="AL14" s="13">
        <f>AM14+AN14+AO14+AP14+AQ14</f>
        <v>9150000</v>
      </c>
      <c r="AM14" s="21">
        <f>+AM15+AM17</f>
        <v>0</v>
      </c>
      <c r="AN14" s="21">
        <f>+AN15+AN17</f>
        <v>0</v>
      </c>
      <c r="AO14" s="21">
        <f>+AO15+AO17</f>
        <v>0</v>
      </c>
      <c r="AP14" s="21">
        <f>+AP15+AP17</f>
        <v>0</v>
      </c>
      <c r="AQ14" s="21">
        <f>+AQ15+AQ17+AQ16</f>
        <v>9150000</v>
      </c>
      <c r="AS14" s="1">
        <f t="shared" si="0"/>
        <v>0</v>
      </c>
    </row>
    <row r="15" spans="1:45" ht="19.5" customHeight="1">
      <c r="A15" s="288"/>
      <c r="B15" s="284"/>
      <c r="C15" s="284"/>
      <c r="D15" s="8" t="s">
        <v>23</v>
      </c>
      <c r="E15" s="19" t="s">
        <v>24</v>
      </c>
      <c r="F15" s="13">
        <f>G15+H15+I15+J15+K15</f>
        <v>8465000</v>
      </c>
      <c r="G15" s="13"/>
      <c r="H15" s="13"/>
      <c r="I15" s="13"/>
      <c r="J15" s="13"/>
      <c r="K15" s="13">
        <v>8465000</v>
      </c>
      <c r="AL15" s="13">
        <v>7800000</v>
      </c>
      <c r="AM15" s="13"/>
      <c r="AN15" s="13"/>
      <c r="AO15" s="13"/>
      <c r="AP15" s="13"/>
      <c r="AQ15" s="13">
        <v>7800000</v>
      </c>
      <c r="AS15" s="1">
        <f t="shared" si="0"/>
        <v>0</v>
      </c>
    </row>
    <row r="16" spans="1:45" ht="19.5" customHeight="1">
      <c r="A16" s="288"/>
      <c r="B16" s="284"/>
      <c r="C16" s="284"/>
      <c r="D16" s="8" t="s">
        <v>23</v>
      </c>
      <c r="E16" s="19" t="s">
        <v>25</v>
      </c>
      <c r="F16" s="13">
        <f>G16+H16+I16+J16+K16</f>
        <v>750000</v>
      </c>
      <c r="G16" s="13"/>
      <c r="H16" s="13"/>
      <c r="I16" s="13"/>
      <c r="J16" s="13"/>
      <c r="K16" s="13">
        <v>750000</v>
      </c>
      <c r="AL16" s="13">
        <v>1250000</v>
      </c>
      <c r="AM16" s="13"/>
      <c r="AN16" s="13"/>
      <c r="AO16" s="13"/>
      <c r="AP16" s="13"/>
      <c r="AQ16" s="13">
        <v>1250000</v>
      </c>
      <c r="AS16" s="1">
        <f t="shared" si="0"/>
        <v>0</v>
      </c>
    </row>
    <row r="17" spans="1:45" ht="17.25" customHeight="1">
      <c r="A17" s="288"/>
      <c r="B17" s="284"/>
      <c r="C17" s="284"/>
      <c r="D17" s="22">
        <v>742122</v>
      </c>
      <c r="E17" s="19" t="s">
        <v>26</v>
      </c>
      <c r="F17" s="13">
        <f>G17+H17+I17+J17+K17</f>
        <v>25000</v>
      </c>
      <c r="G17" s="13"/>
      <c r="H17" s="13"/>
      <c r="I17" s="13"/>
      <c r="J17" s="13"/>
      <c r="K17" s="13">
        <v>25000</v>
      </c>
      <c r="AL17" s="13">
        <v>100000</v>
      </c>
      <c r="AM17" s="13"/>
      <c r="AN17" s="13"/>
      <c r="AO17" s="13"/>
      <c r="AP17" s="13"/>
      <c r="AQ17" s="13">
        <v>100000</v>
      </c>
      <c r="AS17" s="1">
        <f t="shared" si="0"/>
        <v>0</v>
      </c>
    </row>
    <row r="18" spans="1:45" ht="15" customHeight="1">
      <c r="A18" s="23">
        <v>3</v>
      </c>
      <c r="B18" s="24">
        <v>744000</v>
      </c>
      <c r="C18" s="25"/>
      <c r="D18" s="287" t="s">
        <v>27</v>
      </c>
      <c r="E18" s="287"/>
      <c r="F18" s="17">
        <f>+G18+H18+I18+J18+K18</f>
        <v>0</v>
      </c>
      <c r="G18" s="21">
        <f>+G19</f>
        <v>0</v>
      </c>
      <c r="H18" s="21">
        <f>+H19</f>
        <v>0</v>
      </c>
      <c r="I18" s="21">
        <f>+I19</f>
        <v>0</v>
      </c>
      <c r="J18" s="21">
        <f>+J19</f>
        <v>0</v>
      </c>
      <c r="K18" s="21">
        <f>+K19</f>
        <v>0</v>
      </c>
      <c r="AL18" s="14">
        <f aca="true" t="shared" si="1" ref="AL18:AL25">+AM18+AN18+AO18+AP18+AQ18</f>
        <v>150000</v>
      </c>
      <c r="AM18" s="21">
        <f>+AM19</f>
        <v>0</v>
      </c>
      <c r="AN18" s="21">
        <f>+AN19</f>
        <v>0</v>
      </c>
      <c r="AO18" s="21">
        <f>+AO19</f>
        <v>0</v>
      </c>
      <c r="AP18" s="21">
        <f>+AP19</f>
        <v>150000</v>
      </c>
      <c r="AQ18" s="21">
        <f>+AQ19</f>
        <v>0</v>
      </c>
      <c r="AS18" s="1">
        <f t="shared" si="0"/>
        <v>150000</v>
      </c>
    </row>
    <row r="19" spans="1:45" ht="20.25" customHeight="1">
      <c r="A19" s="23"/>
      <c r="B19" s="26"/>
      <c r="C19" s="25"/>
      <c r="D19" s="8">
        <v>744121</v>
      </c>
      <c r="E19" s="19" t="s">
        <v>28</v>
      </c>
      <c r="F19" s="13">
        <f>+G19+H19+I19+J19+K19</f>
        <v>0</v>
      </c>
      <c r="G19" s="13"/>
      <c r="H19" s="13"/>
      <c r="I19" s="13"/>
      <c r="J19" s="13"/>
      <c r="K19" s="13"/>
      <c r="AL19" s="13">
        <f t="shared" si="1"/>
        <v>150000</v>
      </c>
      <c r="AM19" s="13"/>
      <c r="AN19" s="13"/>
      <c r="AO19" s="13"/>
      <c r="AP19" s="13">
        <v>150000</v>
      </c>
      <c r="AQ19" s="13"/>
      <c r="AS19" s="1">
        <f t="shared" si="0"/>
        <v>150000</v>
      </c>
    </row>
    <row r="20" spans="1:45" ht="18" customHeight="1">
      <c r="A20" s="10">
        <v>4</v>
      </c>
      <c r="B20" s="11">
        <v>745000</v>
      </c>
      <c r="C20" s="20"/>
      <c r="D20" s="287" t="s">
        <v>29</v>
      </c>
      <c r="E20" s="287"/>
      <c r="F20" s="13">
        <f>+G20+H20+I20+J20+K20</f>
        <v>200000</v>
      </c>
      <c r="G20" s="21">
        <f>+G21+G22</f>
        <v>0</v>
      </c>
      <c r="H20" s="21">
        <f>+H21+H22</f>
        <v>0</v>
      </c>
      <c r="I20" s="21">
        <f>+I21+I22</f>
        <v>0</v>
      </c>
      <c r="J20" s="21">
        <f>+J21+J22</f>
        <v>0</v>
      </c>
      <c r="K20" s="21">
        <f>+K21+K22</f>
        <v>200000</v>
      </c>
      <c r="AL20" s="14">
        <f t="shared" si="1"/>
        <v>160000</v>
      </c>
      <c r="AM20" s="21">
        <f>+AM21+AM22</f>
        <v>0</v>
      </c>
      <c r="AN20" s="21">
        <f>+AN21+AN22</f>
        <v>0</v>
      </c>
      <c r="AO20" s="21">
        <f>+AO21+AO22</f>
        <v>0</v>
      </c>
      <c r="AP20" s="21">
        <f>+AP21+AP22</f>
        <v>0</v>
      </c>
      <c r="AQ20" s="21">
        <f>+AQ21+AQ22</f>
        <v>160000</v>
      </c>
      <c r="AS20" s="1">
        <f t="shared" si="0"/>
        <v>0</v>
      </c>
    </row>
    <row r="21" spans="1:45" ht="11.25">
      <c r="A21" s="10"/>
      <c r="B21" s="27"/>
      <c r="C21" s="28"/>
      <c r="D21" s="8">
        <v>745122</v>
      </c>
      <c r="E21" s="12" t="s">
        <v>30</v>
      </c>
      <c r="F21" s="13">
        <f>+G21+H21+I21+J21+K21</f>
        <v>0</v>
      </c>
      <c r="G21" s="13"/>
      <c r="H21" s="13"/>
      <c r="I21" s="13"/>
      <c r="J21" s="13"/>
      <c r="K21" s="13"/>
      <c r="AL21" s="13">
        <f t="shared" si="1"/>
        <v>60000</v>
      </c>
      <c r="AM21" s="13"/>
      <c r="AN21" s="13"/>
      <c r="AO21" s="13"/>
      <c r="AP21" s="13"/>
      <c r="AQ21" s="13">
        <v>60000</v>
      </c>
      <c r="AS21" s="1">
        <f t="shared" si="0"/>
        <v>0</v>
      </c>
    </row>
    <row r="22" spans="1:45" ht="17.25" customHeight="1">
      <c r="A22" s="29"/>
      <c r="B22" s="26"/>
      <c r="C22" s="26"/>
      <c r="D22" s="8" t="s">
        <v>31</v>
      </c>
      <c r="E22" s="12" t="s">
        <v>32</v>
      </c>
      <c r="F22" s="13">
        <f>G22+H22+I22+J22+K22</f>
        <v>200000</v>
      </c>
      <c r="G22" s="13"/>
      <c r="H22" s="13"/>
      <c r="I22" s="13"/>
      <c r="J22" s="13"/>
      <c r="K22" s="13">
        <v>200000</v>
      </c>
      <c r="AL22" s="13">
        <f t="shared" si="1"/>
        <v>100000</v>
      </c>
      <c r="AM22" s="13"/>
      <c r="AN22" s="13"/>
      <c r="AO22" s="13"/>
      <c r="AP22" s="13"/>
      <c r="AQ22" s="13">
        <v>100000</v>
      </c>
      <c r="AS22" s="1">
        <f t="shared" si="0"/>
        <v>0</v>
      </c>
    </row>
    <row r="23" spans="1:45" ht="17.25" customHeight="1">
      <c r="A23" s="30" t="s">
        <v>33</v>
      </c>
      <c r="B23" s="27">
        <v>770000</v>
      </c>
      <c r="C23" s="31"/>
      <c r="D23" s="289" t="s">
        <v>34</v>
      </c>
      <c r="E23" s="289"/>
      <c r="F23" s="13">
        <f>+G23+H23+I23+J23+K23</f>
        <v>0</v>
      </c>
      <c r="G23" s="32"/>
      <c r="H23" s="32">
        <f>H24+H25</f>
        <v>0</v>
      </c>
      <c r="I23" s="32"/>
      <c r="J23" s="32"/>
      <c r="K23" s="32"/>
      <c r="AL23" s="14">
        <f t="shared" si="1"/>
        <v>0</v>
      </c>
      <c r="AM23" s="32"/>
      <c r="AN23" s="32"/>
      <c r="AO23" s="32"/>
      <c r="AP23" s="32"/>
      <c r="AQ23" s="32"/>
      <c r="AS23" s="1">
        <f t="shared" si="0"/>
        <v>0</v>
      </c>
    </row>
    <row r="24" spans="1:45" ht="17.25" customHeight="1">
      <c r="A24" s="33"/>
      <c r="B24" s="34"/>
      <c r="C24" s="35"/>
      <c r="D24" s="36">
        <v>771111</v>
      </c>
      <c r="E24" s="37" t="s">
        <v>35</v>
      </c>
      <c r="F24" s="13">
        <f>+G24+H24+I24+J24+K24</f>
        <v>0</v>
      </c>
      <c r="G24" s="32"/>
      <c r="H24" s="32"/>
      <c r="I24" s="32"/>
      <c r="J24" s="32"/>
      <c r="K24" s="32"/>
      <c r="AL24" s="14">
        <f t="shared" si="1"/>
        <v>0</v>
      </c>
      <c r="AM24" s="32"/>
      <c r="AN24" s="32"/>
      <c r="AO24" s="32"/>
      <c r="AP24" s="32"/>
      <c r="AQ24" s="32"/>
      <c r="AS24" s="1">
        <f t="shared" si="0"/>
        <v>0</v>
      </c>
    </row>
    <row r="25" spans="1:45" ht="17.25" customHeight="1">
      <c r="A25" s="38"/>
      <c r="B25" s="25"/>
      <c r="C25" s="26"/>
      <c r="D25" s="36">
        <v>772111</v>
      </c>
      <c r="E25" s="37" t="s">
        <v>36</v>
      </c>
      <c r="F25" s="13">
        <f>+G25+H25+I25+J25+K25</f>
        <v>0</v>
      </c>
      <c r="G25" s="32"/>
      <c r="H25" s="39"/>
      <c r="I25" s="32"/>
      <c r="J25" s="32"/>
      <c r="K25" s="32"/>
      <c r="AL25" s="14">
        <f t="shared" si="1"/>
        <v>0</v>
      </c>
      <c r="AM25" s="32"/>
      <c r="AN25" s="32"/>
      <c r="AO25" s="32"/>
      <c r="AP25" s="32"/>
      <c r="AQ25" s="32"/>
      <c r="AS25" s="1">
        <f t="shared" si="0"/>
        <v>0</v>
      </c>
    </row>
    <row r="26" spans="1:45" ht="18" customHeight="1">
      <c r="A26" s="10" t="s">
        <v>37</v>
      </c>
      <c r="B26" s="40" t="s">
        <v>38</v>
      </c>
      <c r="C26" s="40"/>
      <c r="D26" s="287" t="s">
        <v>39</v>
      </c>
      <c r="E26" s="287"/>
      <c r="F26" s="17">
        <f>G26+H26+I26+J26+K26</f>
        <v>257742000</v>
      </c>
      <c r="G26" s="17"/>
      <c r="H26" s="17"/>
      <c r="I26" s="13">
        <v>257742000</v>
      </c>
      <c r="J26" s="17"/>
      <c r="K26" s="17"/>
      <c r="AL26" s="41">
        <f>AM26+AN26+AO26+AP26+AQ26</f>
        <v>221553824</v>
      </c>
      <c r="AM26" s="17"/>
      <c r="AN26" s="17"/>
      <c r="AO26" s="17">
        <v>221553824</v>
      </c>
      <c r="AP26" s="17"/>
      <c r="AQ26" s="17"/>
      <c r="AS26" s="1">
        <f t="shared" si="0"/>
        <v>221553824</v>
      </c>
    </row>
    <row r="27" spans="1:45" ht="12" customHeight="1">
      <c r="A27" s="10" t="s">
        <v>40</v>
      </c>
      <c r="B27" s="11">
        <v>791111</v>
      </c>
      <c r="C27" s="20"/>
      <c r="D27" s="287" t="s">
        <v>41</v>
      </c>
      <c r="E27" s="287"/>
      <c r="F27" s="17">
        <f>+G27+H27+I27+J27+K27</f>
        <v>19212000</v>
      </c>
      <c r="G27" s="21"/>
      <c r="H27" s="42">
        <v>19212000</v>
      </c>
      <c r="I27" s="21"/>
      <c r="J27" s="21"/>
      <c r="K27" s="21"/>
      <c r="AL27" s="14">
        <f>+AM27+AN27+AO27+AP27+AQ27</f>
        <v>30700000</v>
      </c>
      <c r="AM27" s="21"/>
      <c r="AN27" s="42">
        <v>30700000</v>
      </c>
      <c r="AO27" s="21"/>
      <c r="AP27" s="21"/>
      <c r="AQ27" s="21"/>
      <c r="AS27" s="1">
        <f t="shared" si="0"/>
        <v>0</v>
      </c>
    </row>
    <row r="28" spans="1:45" ht="12" customHeight="1">
      <c r="A28" s="10" t="s">
        <v>42</v>
      </c>
      <c r="B28" s="43">
        <v>811000</v>
      </c>
      <c r="C28" s="43"/>
      <c r="D28" s="287" t="s">
        <v>43</v>
      </c>
      <c r="E28" s="287"/>
      <c r="F28" s="17">
        <f>F29</f>
        <v>50000</v>
      </c>
      <c r="G28" s="21"/>
      <c r="H28" s="21"/>
      <c r="I28" s="21"/>
      <c r="J28" s="21"/>
      <c r="K28" s="21">
        <f>K29</f>
        <v>50000</v>
      </c>
      <c r="AL28" s="14">
        <f>AM28+AN28+AO28+AP28+AQ28</f>
        <v>0</v>
      </c>
      <c r="AM28" s="21"/>
      <c r="AN28" s="21"/>
      <c r="AO28" s="21"/>
      <c r="AP28" s="21"/>
      <c r="AQ28" s="21"/>
      <c r="AS28" s="1">
        <f t="shared" si="0"/>
        <v>0</v>
      </c>
    </row>
    <row r="29" spans="1:45" ht="12">
      <c r="A29" s="44"/>
      <c r="B29" s="43"/>
      <c r="C29" s="43"/>
      <c r="D29" s="11">
        <v>811122</v>
      </c>
      <c r="E29" s="45" t="s">
        <v>44</v>
      </c>
      <c r="F29" s="13">
        <f>G29+H29+I29+J29+K29</f>
        <v>50000</v>
      </c>
      <c r="G29" s="21"/>
      <c r="H29" s="21"/>
      <c r="I29" s="21"/>
      <c r="J29" s="21"/>
      <c r="K29" s="21">
        <v>50000</v>
      </c>
      <c r="AL29" s="13">
        <f>+AM29+AN29+AO29+AP29+AQ29</f>
        <v>20000</v>
      </c>
      <c r="AM29" s="21"/>
      <c r="AN29" s="21"/>
      <c r="AO29" s="21"/>
      <c r="AP29" s="21"/>
      <c r="AQ29" s="42">
        <v>20000</v>
      </c>
      <c r="AS29" s="1">
        <f t="shared" si="0"/>
        <v>0</v>
      </c>
    </row>
    <row r="30" spans="1:45" ht="12" customHeight="1">
      <c r="A30" s="290" t="s">
        <v>45</v>
      </c>
      <c r="B30" s="290"/>
      <c r="C30" s="290"/>
      <c r="D30" s="290"/>
      <c r="E30" s="290"/>
      <c r="F30" s="46">
        <f>+G30+H30+I30+J30+K30</f>
        <v>286594000</v>
      </c>
      <c r="G30" s="47">
        <f>+G11+G23+G26+G27+G28</f>
        <v>0</v>
      </c>
      <c r="H30" s="47">
        <f>+H11+H23+H26+H27+H28</f>
        <v>19212000</v>
      </c>
      <c r="I30" s="47">
        <f>+I11+I23+I26+I27+I28</f>
        <v>257892000</v>
      </c>
      <c r="J30" s="47">
        <f>+J11+J23+J26+J27+J28</f>
        <v>0</v>
      </c>
      <c r="K30" s="47">
        <f>+K11+K23+K26+K27+K28</f>
        <v>9490000</v>
      </c>
      <c r="AL30" s="46">
        <f>+AM30+AN30+AO30+AP30+AQ30</f>
        <v>261923824</v>
      </c>
      <c r="AM30" s="47">
        <f>+AM11+AM23+AM26+AM27+AM28</f>
        <v>0</v>
      </c>
      <c r="AN30" s="47">
        <f>+AN11+AN23+AN26+AN27+AN28</f>
        <v>30700000</v>
      </c>
      <c r="AO30" s="47">
        <f>+AO11+AO23+AO26+AO27+AO28</f>
        <v>221743824</v>
      </c>
      <c r="AP30" s="47">
        <f>+AP11+AP23+AP26+AP27+AP28</f>
        <v>150000</v>
      </c>
      <c r="AQ30" s="47">
        <f>+AQ11+AQ23+AQ26+AQ27+AQ28</f>
        <v>9330000</v>
      </c>
      <c r="AS30" s="1">
        <f t="shared" si="0"/>
        <v>221893824</v>
      </c>
    </row>
    <row r="31" ht="6" customHeight="1">
      <c r="AS31" s="1">
        <f t="shared" si="0"/>
        <v>0</v>
      </c>
    </row>
    <row r="32" spans="1:45" ht="13.5">
      <c r="A32" s="48" t="s">
        <v>46</v>
      </c>
      <c r="B32" s="49"/>
      <c r="C32" s="49"/>
      <c r="D32" s="4"/>
      <c r="E32" s="4"/>
      <c r="F32" s="4"/>
      <c r="G32" s="4"/>
      <c r="H32" s="4"/>
      <c r="I32" s="4"/>
      <c r="J32" s="4"/>
      <c r="K32" s="4"/>
      <c r="AL32" s="4"/>
      <c r="AM32" s="4"/>
      <c r="AN32" s="4"/>
      <c r="AO32" s="4"/>
      <c r="AP32" s="4"/>
      <c r="AQ32" s="4"/>
      <c r="AS32" s="1">
        <f t="shared" si="0"/>
        <v>0</v>
      </c>
    </row>
    <row r="33" spans="1:45" ht="12" customHeight="1">
      <c r="A33" s="291" t="s">
        <v>3</v>
      </c>
      <c r="B33" s="292" t="s">
        <v>47</v>
      </c>
      <c r="C33" s="293" t="s">
        <v>5</v>
      </c>
      <c r="D33" s="294" t="s">
        <v>6</v>
      </c>
      <c r="E33" s="295" t="s">
        <v>7</v>
      </c>
      <c r="F33" s="284" t="s">
        <v>48</v>
      </c>
      <c r="G33" s="284"/>
      <c r="H33" s="284"/>
      <c r="I33" s="284"/>
      <c r="J33" s="284"/>
      <c r="K33" s="284"/>
      <c r="AL33" s="284" t="s">
        <v>48</v>
      </c>
      <c r="AM33" s="284"/>
      <c r="AN33" s="284"/>
      <c r="AO33" s="284"/>
      <c r="AP33" s="284"/>
      <c r="AQ33" s="284"/>
      <c r="AS33" s="1" t="e">
        <f t="shared" si="0"/>
        <v>#VALUE!</v>
      </c>
    </row>
    <row r="34" spans="1:45" ht="12" customHeight="1">
      <c r="A34" s="291"/>
      <c r="B34" s="292"/>
      <c r="C34" s="293"/>
      <c r="D34" s="294"/>
      <c r="E34" s="295"/>
      <c r="F34" s="285" t="s">
        <v>9</v>
      </c>
      <c r="G34" s="284" t="s">
        <v>49</v>
      </c>
      <c r="H34" s="284"/>
      <c r="I34" s="284"/>
      <c r="J34" s="284" t="s">
        <v>11</v>
      </c>
      <c r="K34" s="284" t="s">
        <v>12</v>
      </c>
      <c r="AL34" s="285" t="s">
        <v>9</v>
      </c>
      <c r="AM34" s="284" t="s">
        <v>49</v>
      </c>
      <c r="AN34" s="284"/>
      <c r="AO34" s="284"/>
      <c r="AP34" s="284" t="s">
        <v>11</v>
      </c>
      <c r="AQ34" s="284" t="s">
        <v>12</v>
      </c>
      <c r="AS34" s="1" t="e">
        <f t="shared" si="0"/>
        <v>#VALUE!</v>
      </c>
    </row>
    <row r="35" spans="1:45" ht="11.25">
      <c r="A35" s="291"/>
      <c r="B35" s="292"/>
      <c r="C35" s="293"/>
      <c r="D35" s="294"/>
      <c r="E35" s="295"/>
      <c r="F35" s="285"/>
      <c r="G35" s="8" t="s">
        <v>13</v>
      </c>
      <c r="H35" s="8" t="s">
        <v>14</v>
      </c>
      <c r="I35" s="8" t="s">
        <v>15</v>
      </c>
      <c r="J35" s="284"/>
      <c r="K35" s="284"/>
      <c r="AL35" s="285"/>
      <c r="AM35" s="8" t="s">
        <v>13</v>
      </c>
      <c r="AN35" s="8" t="s">
        <v>14</v>
      </c>
      <c r="AO35" s="8" t="s">
        <v>15</v>
      </c>
      <c r="AP35" s="284"/>
      <c r="AQ35" s="284"/>
      <c r="AS35" s="1" t="e">
        <f t="shared" si="0"/>
        <v>#VALUE!</v>
      </c>
    </row>
    <row r="36" spans="1:45" ht="18.75">
      <c r="A36" s="9">
        <v>0</v>
      </c>
      <c r="B36" s="9">
        <v>1</v>
      </c>
      <c r="C36" s="9">
        <v>2</v>
      </c>
      <c r="D36" s="9">
        <v>3</v>
      </c>
      <c r="E36" s="50">
        <v>4</v>
      </c>
      <c r="F36" s="9" t="s">
        <v>16</v>
      </c>
      <c r="G36" s="9">
        <v>6</v>
      </c>
      <c r="H36" s="9">
        <v>7</v>
      </c>
      <c r="I36" s="9">
        <v>8</v>
      </c>
      <c r="J36" s="9">
        <v>9</v>
      </c>
      <c r="K36" s="9">
        <v>10</v>
      </c>
      <c r="AL36" s="9" t="s">
        <v>16</v>
      </c>
      <c r="AM36" s="9">
        <v>6</v>
      </c>
      <c r="AN36" s="9">
        <v>7</v>
      </c>
      <c r="AO36" s="9">
        <v>8</v>
      </c>
      <c r="AP36" s="9">
        <v>9</v>
      </c>
      <c r="AQ36" s="9">
        <v>10</v>
      </c>
      <c r="AS36" s="1" t="e">
        <f t="shared" si="0"/>
        <v>#VALUE!</v>
      </c>
    </row>
    <row r="37" spans="1:45" ht="12" customHeight="1">
      <c r="A37" s="296" t="s">
        <v>50</v>
      </c>
      <c r="B37" s="296"/>
      <c r="C37" s="296"/>
      <c r="D37" s="296"/>
      <c r="E37" s="296"/>
      <c r="F37" s="16"/>
      <c r="G37" s="16"/>
      <c r="H37" s="16"/>
      <c r="I37" s="16"/>
      <c r="J37" s="16"/>
      <c r="K37" s="16"/>
      <c r="AL37" s="16"/>
      <c r="AM37" s="16"/>
      <c r="AN37" s="16"/>
      <c r="AO37" s="16"/>
      <c r="AP37" s="16"/>
      <c r="AQ37" s="16"/>
      <c r="AS37" s="1">
        <f t="shared" si="0"/>
        <v>0</v>
      </c>
    </row>
    <row r="38" spans="1:45" ht="12" customHeight="1">
      <c r="A38" s="23" t="s">
        <v>17</v>
      </c>
      <c r="B38" s="51">
        <v>410000</v>
      </c>
      <c r="C38" s="51"/>
      <c r="D38" s="297" t="s">
        <v>51</v>
      </c>
      <c r="E38" s="297"/>
      <c r="F38" s="46">
        <f aca="true" t="shared" si="2" ref="F38:F45">+G38+H38+I38+J38+K38</f>
        <v>192117571</v>
      </c>
      <c r="G38" s="46">
        <f>G47+G45+G53+G57</f>
        <v>0</v>
      </c>
      <c r="H38" s="46">
        <f>H39</f>
        <v>8200000</v>
      </c>
      <c r="I38" s="52">
        <f>+I39+I45+I47+I53+I57</f>
        <v>179598000</v>
      </c>
      <c r="J38" s="52">
        <f>+J39+J45+J47+J53+J57</f>
        <v>0</v>
      </c>
      <c r="K38" s="52">
        <f>+K39+K45+K47+K53+K57</f>
        <v>4319571</v>
      </c>
      <c r="AL38" s="46">
        <f>AM38+AN38+AO38+AP38+AQ38</f>
        <v>162405795.46</v>
      </c>
      <c r="AM38" s="53"/>
      <c r="AN38" s="52">
        <f>+AN39+AN45+AN47+AN53+AN57</f>
        <v>0</v>
      </c>
      <c r="AO38" s="52">
        <f>+AO39+AO45+AO47+AO53+AO57</f>
        <v>157637095.46</v>
      </c>
      <c r="AP38" s="52">
        <f>+AP39+AP45+AP47+AP53+AP57</f>
        <v>0</v>
      </c>
      <c r="AQ38" s="52">
        <f>+AQ39+AQ45+AQ47+AQ53+AQ57</f>
        <v>4768700</v>
      </c>
      <c r="AS38" s="1">
        <f>AL38-AO38-AQ38</f>
        <v>0</v>
      </c>
    </row>
    <row r="39" spans="1:45" ht="12" customHeight="1">
      <c r="A39" s="54">
        <v>1</v>
      </c>
      <c r="B39" s="11">
        <v>411000</v>
      </c>
      <c r="C39" s="20"/>
      <c r="D39" s="296" t="s">
        <v>52</v>
      </c>
      <c r="E39" s="296"/>
      <c r="F39" s="17">
        <f t="shared" si="2"/>
        <v>186226571</v>
      </c>
      <c r="G39" s="17">
        <f>G48</f>
        <v>0</v>
      </c>
      <c r="H39" s="17">
        <f>H40+H41</f>
        <v>8200000</v>
      </c>
      <c r="I39" s="55">
        <f>+I40+I41</f>
        <v>174045000</v>
      </c>
      <c r="J39" s="55">
        <f>+J40+J41</f>
        <v>0</v>
      </c>
      <c r="K39" s="55">
        <f>+K40+K41</f>
        <v>3981571</v>
      </c>
      <c r="O39" s="1">
        <v>151375000</v>
      </c>
      <c r="AL39" s="17">
        <f aca="true" t="shared" si="3" ref="AL39:AL50">+AM39+AN39+AO39+AP39+AQ39</f>
        <v>156801254</v>
      </c>
      <c r="AM39" s="17">
        <f>+AM40+AM41</f>
        <v>0</v>
      </c>
      <c r="AN39" s="17">
        <f>+AN40+AN41</f>
        <v>0</v>
      </c>
      <c r="AO39" s="55">
        <f>+AO40+AO41</f>
        <v>152788000</v>
      </c>
      <c r="AP39" s="55">
        <f>+AP40+AP41</f>
        <v>0</v>
      </c>
      <c r="AQ39" s="55">
        <f>+AQ40+AQ41</f>
        <v>4013254</v>
      </c>
      <c r="AS39" s="1">
        <f aca="true" t="shared" si="4" ref="AS39:AS66">AL39-AN39-AQ39</f>
        <v>152788000</v>
      </c>
    </row>
    <row r="40" spans="1:45" ht="11.25">
      <c r="A40" s="298"/>
      <c r="B40" s="299"/>
      <c r="C40" s="56" t="s">
        <v>53</v>
      </c>
      <c r="D40" s="8">
        <v>411100</v>
      </c>
      <c r="E40" s="58" t="s">
        <v>516</v>
      </c>
      <c r="F40" s="59">
        <f t="shared" si="2"/>
        <v>157952986</v>
      </c>
      <c r="G40" s="59"/>
      <c r="H40" s="59">
        <v>6955046</v>
      </c>
      <c r="I40" s="59">
        <v>147620865</v>
      </c>
      <c r="J40" s="59"/>
      <c r="K40" s="59">
        <v>3377075</v>
      </c>
      <c r="O40" s="1">
        <f>O39/F39*F40</f>
        <v>128392705.33392358</v>
      </c>
      <c r="AL40" s="59">
        <f t="shared" si="3"/>
        <v>132986020</v>
      </c>
      <c r="AM40" s="59"/>
      <c r="AN40" s="59"/>
      <c r="AO40" s="59">
        <v>129556820</v>
      </c>
      <c r="AP40" s="59"/>
      <c r="AQ40" s="59">
        <v>3429200</v>
      </c>
      <c r="AS40" s="1">
        <f t="shared" si="4"/>
        <v>129556820</v>
      </c>
    </row>
    <row r="41" spans="1:45" ht="16.5" customHeight="1">
      <c r="A41" s="298"/>
      <c r="B41" s="299"/>
      <c r="C41" s="60" t="s">
        <v>54</v>
      </c>
      <c r="D41" s="8">
        <v>412000</v>
      </c>
      <c r="E41" s="58" t="s">
        <v>55</v>
      </c>
      <c r="F41" s="61">
        <f t="shared" si="2"/>
        <v>28273585</v>
      </c>
      <c r="G41" s="59"/>
      <c r="H41" s="61">
        <f>H42+H43+H44</f>
        <v>1244954</v>
      </c>
      <c r="I41" s="61">
        <f>I42+I43+I44</f>
        <v>26424135</v>
      </c>
      <c r="J41" s="59">
        <f>+J42+J43+J44</f>
        <v>0</v>
      </c>
      <c r="K41" s="61">
        <f>+K42+K43+K44</f>
        <v>604496</v>
      </c>
      <c r="O41" s="1">
        <f>O39/F39*F41</f>
        <v>22982294.66607641</v>
      </c>
      <c r="AL41" s="59">
        <f t="shared" si="3"/>
        <v>23815234</v>
      </c>
      <c r="AM41" s="59"/>
      <c r="AN41" s="59"/>
      <c r="AO41" s="59">
        <f>+AO42+AO43+AO44</f>
        <v>23231180</v>
      </c>
      <c r="AP41" s="59">
        <f>+AP42+AP43+AP44</f>
        <v>0</v>
      </c>
      <c r="AQ41" s="59">
        <f>+AQ42+AQ43+AQ44</f>
        <v>584054</v>
      </c>
      <c r="AS41" s="1">
        <f t="shared" si="4"/>
        <v>23231180</v>
      </c>
    </row>
    <row r="42" spans="1:45" ht="13.5" customHeight="1">
      <c r="A42" s="298"/>
      <c r="B42" s="299"/>
      <c r="C42" s="60"/>
      <c r="D42" s="62">
        <v>412100</v>
      </c>
      <c r="E42" s="63" t="s">
        <v>56</v>
      </c>
      <c r="F42" s="59">
        <f t="shared" si="2"/>
        <v>18954359</v>
      </c>
      <c r="G42" s="64"/>
      <c r="H42" s="64">
        <v>834606</v>
      </c>
      <c r="I42" s="64">
        <v>17714504</v>
      </c>
      <c r="J42" s="64"/>
      <c r="K42" s="64">
        <v>405249</v>
      </c>
      <c r="L42" s="1">
        <v>26065</v>
      </c>
      <c r="M42" s="1" t="s">
        <v>57</v>
      </c>
      <c r="O42" s="1">
        <f>O39/F39*F42</f>
        <v>15407125.192811502</v>
      </c>
      <c r="AL42" s="59">
        <f t="shared" si="3"/>
        <v>15977390</v>
      </c>
      <c r="AM42" s="64"/>
      <c r="AN42" s="64"/>
      <c r="AO42" s="64">
        <v>15585900</v>
      </c>
      <c r="AP42" s="64"/>
      <c r="AQ42" s="64">
        <v>391490</v>
      </c>
      <c r="AS42" s="1">
        <f t="shared" si="4"/>
        <v>15585900</v>
      </c>
    </row>
    <row r="43" spans="1:45" ht="13.5" customHeight="1">
      <c r="A43" s="298"/>
      <c r="B43" s="299"/>
      <c r="C43" s="65"/>
      <c r="D43" s="62">
        <v>412200</v>
      </c>
      <c r="E43" s="63" t="s">
        <v>58</v>
      </c>
      <c r="F43" s="59">
        <f t="shared" si="2"/>
        <v>8134579</v>
      </c>
      <c r="G43" s="64"/>
      <c r="H43" s="64">
        <v>358185</v>
      </c>
      <c r="I43" s="64">
        <v>7602475</v>
      </c>
      <c r="J43" s="64"/>
      <c r="K43" s="64">
        <v>173919</v>
      </c>
      <c r="L43" s="1">
        <v>14573</v>
      </c>
      <c r="O43" s="1">
        <f>O39/F39*F43</f>
        <v>6612224.504337783</v>
      </c>
      <c r="AL43" s="59">
        <f t="shared" si="3"/>
        <v>6842056</v>
      </c>
      <c r="AM43" s="64"/>
      <c r="AN43" s="64"/>
      <c r="AO43" s="64">
        <v>6673946</v>
      </c>
      <c r="AP43" s="64"/>
      <c r="AQ43" s="64">
        <v>168110</v>
      </c>
      <c r="AS43" s="1">
        <f t="shared" si="4"/>
        <v>6673946</v>
      </c>
    </row>
    <row r="44" spans="1:45" ht="13.5" customHeight="1">
      <c r="A44" s="298"/>
      <c r="B44" s="299"/>
      <c r="C44" s="66"/>
      <c r="D44" s="62">
        <v>412300</v>
      </c>
      <c r="E44" s="63" t="s">
        <v>59</v>
      </c>
      <c r="F44" s="59">
        <f t="shared" si="2"/>
        <v>1184647</v>
      </c>
      <c r="G44" s="64"/>
      <c r="H44" s="64">
        <v>52163</v>
      </c>
      <c r="I44" s="64">
        <v>1107156</v>
      </c>
      <c r="J44" s="64"/>
      <c r="K44" s="64">
        <v>25328</v>
      </c>
      <c r="L44" s="1">
        <v>1777</v>
      </c>
      <c r="O44" s="1">
        <f>O39/F39*F44</f>
        <v>962944.9689271247</v>
      </c>
      <c r="AL44" s="59">
        <f t="shared" si="3"/>
        <v>995788</v>
      </c>
      <c r="AM44" s="64"/>
      <c r="AN44" s="64"/>
      <c r="AO44" s="64">
        <v>971334</v>
      </c>
      <c r="AP44" s="64"/>
      <c r="AQ44" s="64">
        <v>24454</v>
      </c>
      <c r="AS44" s="1">
        <f t="shared" si="4"/>
        <v>971334</v>
      </c>
    </row>
    <row r="45" spans="1:45" ht="14.25" customHeight="1">
      <c r="A45" s="54">
        <v>2</v>
      </c>
      <c r="B45" s="11">
        <v>413000</v>
      </c>
      <c r="C45" s="67"/>
      <c r="D45" s="300" t="s">
        <v>60</v>
      </c>
      <c r="E45" s="300"/>
      <c r="F45" s="61">
        <f t="shared" si="2"/>
        <v>1526000</v>
      </c>
      <c r="G45" s="68">
        <f>+G46</f>
        <v>0</v>
      </c>
      <c r="H45" s="68">
        <f>+H46</f>
        <v>0</v>
      </c>
      <c r="I45" s="55">
        <f>+I46</f>
        <v>1526000</v>
      </c>
      <c r="J45" s="55">
        <f>+J46</f>
        <v>0</v>
      </c>
      <c r="K45" s="55">
        <f>+K46</f>
        <v>0</v>
      </c>
      <c r="L45" s="1">
        <f>SUM(L42:L44)</f>
        <v>42415</v>
      </c>
      <c r="AL45" s="59">
        <f t="shared" si="3"/>
        <v>876000</v>
      </c>
      <c r="AM45" s="68">
        <f>+AM46</f>
        <v>0</v>
      </c>
      <c r="AN45" s="68">
        <f>+AN46</f>
        <v>0</v>
      </c>
      <c r="AO45" s="55">
        <f>+AO46</f>
        <v>876000</v>
      </c>
      <c r="AP45" s="55">
        <f>+AP46</f>
        <v>0</v>
      </c>
      <c r="AQ45" s="55">
        <f>+AQ46</f>
        <v>0</v>
      </c>
      <c r="AS45" s="1">
        <f t="shared" si="4"/>
        <v>876000</v>
      </c>
    </row>
    <row r="46" spans="1:45" ht="12.75" customHeight="1">
      <c r="A46" s="56"/>
      <c r="B46" s="4"/>
      <c r="C46" s="56" t="s">
        <v>61</v>
      </c>
      <c r="D46" s="8">
        <v>413151</v>
      </c>
      <c r="E46" s="58" t="s">
        <v>62</v>
      </c>
      <c r="F46" s="59">
        <f>G46+H46+J46+K46+I46</f>
        <v>1526000</v>
      </c>
      <c r="G46" s="59"/>
      <c r="H46" s="59"/>
      <c r="I46" s="59">
        <v>1526000</v>
      </c>
      <c r="J46" s="59"/>
      <c r="K46" s="59"/>
      <c r="N46" s="2">
        <f>+I46/1.2</f>
        <v>1271666.6666666667</v>
      </c>
      <c r="AL46" s="59">
        <f t="shared" si="3"/>
        <v>876000</v>
      </c>
      <c r="AM46" s="59"/>
      <c r="AN46" s="59"/>
      <c r="AO46" s="59">
        <v>876000</v>
      </c>
      <c r="AP46" s="59"/>
      <c r="AQ46" s="59"/>
      <c r="AS46" s="1">
        <f t="shared" si="4"/>
        <v>876000</v>
      </c>
    </row>
    <row r="47" spans="1:45" ht="12" customHeight="1">
      <c r="A47" s="69">
        <v>3</v>
      </c>
      <c r="B47" s="70">
        <v>414000</v>
      </c>
      <c r="C47" s="20"/>
      <c r="D47" s="300" t="s">
        <v>63</v>
      </c>
      <c r="E47" s="300"/>
      <c r="F47" s="61">
        <f>+G47+H47+I47+J47+K47</f>
        <v>550000</v>
      </c>
      <c r="G47" s="68">
        <f>+G48+G49+G50</f>
        <v>0</v>
      </c>
      <c r="H47" s="68">
        <f>+H48+H49+H50</f>
        <v>0</v>
      </c>
      <c r="I47" s="55">
        <f>+I48+I49+I50</f>
        <v>550000</v>
      </c>
      <c r="J47" s="55">
        <f>+J48+J49+J50</f>
        <v>0</v>
      </c>
      <c r="K47" s="55">
        <f>+K48+K49+K50</f>
        <v>0</v>
      </c>
      <c r="N47" s="2">
        <f>+I47/1.2</f>
        <v>458333.3333333334</v>
      </c>
      <c r="AL47" s="59">
        <f t="shared" si="3"/>
        <v>825717</v>
      </c>
      <c r="AM47" s="68">
        <f>+AM48+AM49+AM50</f>
        <v>0</v>
      </c>
      <c r="AN47" s="68">
        <f>+AN48+AN49+AN50+AN51</f>
        <v>0</v>
      </c>
      <c r="AO47" s="55">
        <f>+AO48+AO49+AO50</f>
        <v>630271</v>
      </c>
      <c r="AP47" s="55">
        <f>+AP48+AP49+AP50</f>
        <v>0</v>
      </c>
      <c r="AQ47" s="55">
        <v>195446</v>
      </c>
      <c r="AS47" s="1">
        <f t="shared" si="4"/>
        <v>630271</v>
      </c>
    </row>
    <row r="48" spans="1:45" ht="11.25">
      <c r="A48" s="71"/>
      <c r="B48" s="72"/>
      <c r="C48" s="73" t="s">
        <v>64</v>
      </c>
      <c r="D48" s="8">
        <v>414311</v>
      </c>
      <c r="E48" s="58" t="s">
        <v>65</v>
      </c>
      <c r="F48" s="59">
        <f>+G48+H48+I48+J48+K48</f>
        <v>400000</v>
      </c>
      <c r="G48" s="59"/>
      <c r="H48" s="59"/>
      <c r="I48" s="59">
        <v>400000</v>
      </c>
      <c r="J48" s="59"/>
      <c r="K48" s="59"/>
      <c r="AL48" s="59">
        <f t="shared" si="3"/>
        <v>630271</v>
      </c>
      <c r="AM48" s="59"/>
      <c r="AN48" s="59"/>
      <c r="AO48" s="59">
        <v>630271</v>
      </c>
      <c r="AP48" s="59"/>
      <c r="AQ48" s="59"/>
      <c r="AS48" s="1">
        <f t="shared" si="4"/>
        <v>630271</v>
      </c>
    </row>
    <row r="49" spans="1:45" ht="22.5">
      <c r="A49" s="74"/>
      <c r="B49" s="75"/>
      <c r="C49" s="73" t="s">
        <v>66</v>
      </c>
      <c r="D49" s="8">
        <v>414314</v>
      </c>
      <c r="E49" s="58" t="s">
        <v>67</v>
      </c>
      <c r="F49" s="59">
        <f>+G49+H49+I49+J49+K49</f>
        <v>150000</v>
      </c>
      <c r="G49" s="59"/>
      <c r="H49" s="59"/>
      <c r="I49" s="59">
        <v>150000</v>
      </c>
      <c r="J49" s="59"/>
      <c r="K49" s="59"/>
      <c r="N49" s="2">
        <f>+I49/1.2</f>
        <v>125000</v>
      </c>
      <c r="AL49" s="59">
        <f t="shared" si="3"/>
        <v>102446</v>
      </c>
      <c r="AM49" s="59"/>
      <c r="AN49" s="59"/>
      <c r="AO49" s="59"/>
      <c r="AP49" s="59"/>
      <c r="AQ49" s="59">
        <v>102446</v>
      </c>
      <c r="AS49" s="1">
        <f t="shared" si="4"/>
        <v>0</v>
      </c>
    </row>
    <row r="50" spans="1:45" ht="22.5" customHeight="1">
      <c r="A50" s="74"/>
      <c r="B50" s="75"/>
      <c r="C50" s="73" t="s">
        <v>68</v>
      </c>
      <c r="D50" s="8">
        <v>414400</v>
      </c>
      <c r="E50" s="76" t="s">
        <v>69</v>
      </c>
      <c r="F50" s="59">
        <f>+G50+H50+I50+J50+K50</f>
        <v>0</v>
      </c>
      <c r="G50" s="77"/>
      <c r="H50" s="77"/>
      <c r="I50" s="77"/>
      <c r="J50" s="77"/>
      <c r="K50" s="77"/>
      <c r="N50" s="2">
        <f>+I50/1.2</f>
        <v>0</v>
      </c>
      <c r="AL50" s="59">
        <f t="shared" si="3"/>
        <v>0</v>
      </c>
      <c r="AM50" s="77"/>
      <c r="AN50" s="77"/>
      <c r="AO50" s="77"/>
      <c r="AP50" s="77"/>
      <c r="AQ50" s="77"/>
      <c r="AS50" s="1">
        <f t="shared" si="4"/>
        <v>0</v>
      </c>
    </row>
    <row r="51" spans="1:45" ht="22.5" customHeight="1">
      <c r="A51" s="74"/>
      <c r="B51" s="75"/>
      <c r="C51" s="73" t="s">
        <v>70</v>
      </c>
      <c r="D51" s="8" t="s">
        <v>71</v>
      </c>
      <c r="E51" s="76"/>
      <c r="F51" s="59"/>
      <c r="G51" s="77"/>
      <c r="H51" s="77"/>
      <c r="I51" s="77"/>
      <c r="J51" s="77"/>
      <c r="K51" s="77"/>
      <c r="AL51" s="59">
        <f>AM51+AN51+AO51+AP51+AQ51</f>
        <v>93000</v>
      </c>
      <c r="AM51" s="77"/>
      <c r="AN51" s="77"/>
      <c r="AO51" s="77"/>
      <c r="AP51" s="77"/>
      <c r="AQ51" s="77">
        <v>93000</v>
      </c>
      <c r="AS51" s="1">
        <f t="shared" si="4"/>
        <v>0</v>
      </c>
    </row>
    <row r="52" spans="1:45" ht="22.5" customHeight="1">
      <c r="A52" s="78"/>
      <c r="B52" s="79"/>
      <c r="C52" s="73" t="s">
        <v>72</v>
      </c>
      <c r="D52" s="8">
        <v>414131</v>
      </c>
      <c r="E52" s="76"/>
      <c r="F52" s="59">
        <f aca="true" t="shared" si="5" ref="F52:F59">+G52+H52+I52+J52+K52</f>
        <v>0</v>
      </c>
      <c r="G52" s="77"/>
      <c r="H52" s="77"/>
      <c r="I52" s="77"/>
      <c r="J52" s="77"/>
      <c r="K52" s="77"/>
      <c r="N52" s="2">
        <f aca="true" t="shared" si="6" ref="N52:N62">+I52/1.2</f>
        <v>0</v>
      </c>
      <c r="AL52" s="59">
        <f aca="true" t="shared" si="7" ref="AL52:AL59">+AM52+AN52+AO52+AP52+AQ52</f>
        <v>0</v>
      </c>
      <c r="AM52" s="77"/>
      <c r="AN52" s="77"/>
      <c r="AO52" s="77"/>
      <c r="AP52" s="77"/>
      <c r="AQ52" s="77"/>
      <c r="AS52" s="1">
        <f t="shared" si="4"/>
        <v>0</v>
      </c>
    </row>
    <row r="53" spans="1:45" ht="12" customHeight="1">
      <c r="A53" s="80">
        <v>4</v>
      </c>
      <c r="B53" s="27">
        <v>415000</v>
      </c>
      <c r="C53" s="20"/>
      <c r="D53" s="300" t="s">
        <v>73</v>
      </c>
      <c r="E53" s="300"/>
      <c r="F53" s="61">
        <f t="shared" si="5"/>
        <v>2065000</v>
      </c>
      <c r="G53" s="68">
        <f>+G54+G55+G56</f>
        <v>0</v>
      </c>
      <c r="H53" s="68">
        <f>+H54+H55+H56</f>
        <v>0</v>
      </c>
      <c r="I53" s="68">
        <f>+I54+I55+I56</f>
        <v>1827000</v>
      </c>
      <c r="J53" s="68">
        <f>+J54+J55+J56</f>
        <v>0</v>
      </c>
      <c r="K53" s="68">
        <f>+K54+K55+K56</f>
        <v>238000</v>
      </c>
      <c r="N53" s="2">
        <f t="shared" si="6"/>
        <v>1522500</v>
      </c>
      <c r="AL53" s="59">
        <f t="shared" si="7"/>
        <v>2205000</v>
      </c>
      <c r="AM53" s="68">
        <f>+AM54+AM55+AM56</f>
        <v>0</v>
      </c>
      <c r="AN53" s="68">
        <f>+AN54+AN55+AN56</f>
        <v>0</v>
      </c>
      <c r="AO53" s="68">
        <f>+AO54+AO55+AO56</f>
        <v>1685000</v>
      </c>
      <c r="AP53" s="68">
        <f>+AP54+AP55+AP56</f>
        <v>0</v>
      </c>
      <c r="AQ53" s="68">
        <f>+AQ54+AQ55+AQ56</f>
        <v>520000</v>
      </c>
      <c r="AS53" s="1">
        <f t="shared" si="4"/>
        <v>1685000</v>
      </c>
    </row>
    <row r="54" spans="1:45" ht="11.25">
      <c r="A54" s="301"/>
      <c r="B54" s="302"/>
      <c r="C54" s="81" t="s">
        <v>74</v>
      </c>
      <c r="D54" s="82">
        <v>415111</v>
      </c>
      <c r="E54" s="83" t="s">
        <v>75</v>
      </c>
      <c r="F54" s="59">
        <f t="shared" si="5"/>
        <v>238000</v>
      </c>
      <c r="G54" s="84"/>
      <c r="H54" s="84"/>
      <c r="I54" s="84"/>
      <c r="J54" s="85"/>
      <c r="K54" s="84">
        <v>238000</v>
      </c>
      <c r="N54" s="2">
        <f t="shared" si="6"/>
        <v>0</v>
      </c>
      <c r="AL54" s="59">
        <f t="shared" si="7"/>
        <v>520000</v>
      </c>
      <c r="AM54" s="84"/>
      <c r="AN54" s="84"/>
      <c r="AO54" s="84"/>
      <c r="AP54" s="85"/>
      <c r="AQ54" s="84">
        <v>520000</v>
      </c>
      <c r="AS54" s="1">
        <f t="shared" si="4"/>
        <v>0</v>
      </c>
    </row>
    <row r="55" spans="1:45" ht="11.25">
      <c r="A55" s="301"/>
      <c r="B55" s="302"/>
      <c r="C55" s="57" t="s">
        <v>76</v>
      </c>
      <c r="D55" s="8">
        <v>415112</v>
      </c>
      <c r="E55" s="19" t="s">
        <v>77</v>
      </c>
      <c r="F55" s="59">
        <f t="shared" si="5"/>
        <v>1827000</v>
      </c>
      <c r="G55" s="59"/>
      <c r="H55" s="59"/>
      <c r="I55" s="59">
        <v>1827000</v>
      </c>
      <c r="J55" s="86"/>
      <c r="K55" s="59"/>
      <c r="N55" s="2">
        <f t="shared" si="6"/>
        <v>1522500</v>
      </c>
      <c r="AL55" s="59">
        <f t="shared" si="7"/>
        <v>1685000</v>
      </c>
      <c r="AM55" s="59"/>
      <c r="AN55" s="59"/>
      <c r="AO55" s="59">
        <v>1685000</v>
      </c>
      <c r="AP55" s="86"/>
      <c r="AQ55" s="59"/>
      <c r="AS55" s="1">
        <f t="shared" si="4"/>
        <v>1685000</v>
      </c>
    </row>
    <row r="56" spans="1:45" ht="22.5">
      <c r="A56" s="87"/>
      <c r="B56" s="88"/>
      <c r="C56" s="57" t="s">
        <v>78</v>
      </c>
      <c r="D56" s="8">
        <v>4151121</v>
      </c>
      <c r="E56" s="19" t="s">
        <v>79</v>
      </c>
      <c r="F56" s="59">
        <f t="shared" si="5"/>
        <v>0</v>
      </c>
      <c r="G56" s="59"/>
      <c r="H56" s="59"/>
      <c r="I56" s="59"/>
      <c r="J56" s="86"/>
      <c r="K56" s="59"/>
      <c r="N56" s="2">
        <f t="shared" si="6"/>
        <v>0</v>
      </c>
      <c r="AL56" s="59">
        <f t="shared" si="7"/>
        <v>0</v>
      </c>
      <c r="AM56" s="59"/>
      <c r="AN56" s="59"/>
      <c r="AO56" s="59"/>
      <c r="AP56" s="86"/>
      <c r="AQ56" s="59"/>
      <c r="AS56" s="1">
        <f t="shared" si="4"/>
        <v>0</v>
      </c>
    </row>
    <row r="57" spans="1:45" ht="12" customHeight="1">
      <c r="A57" s="80">
        <v>5</v>
      </c>
      <c r="B57" s="24">
        <v>416000</v>
      </c>
      <c r="C57" s="20"/>
      <c r="D57" s="303" t="s">
        <v>80</v>
      </c>
      <c r="E57" s="303"/>
      <c r="F57" s="61">
        <f t="shared" si="5"/>
        <v>1750000</v>
      </c>
      <c r="G57" s="90">
        <f>+G58+G59</f>
        <v>0</v>
      </c>
      <c r="H57" s="90">
        <f>+H58+H59</f>
        <v>0</v>
      </c>
      <c r="I57" s="90">
        <f>+I58+I59</f>
        <v>1650000</v>
      </c>
      <c r="J57" s="91">
        <f>+J58+J59</f>
        <v>0</v>
      </c>
      <c r="K57" s="68">
        <f>+K58+K59</f>
        <v>100000</v>
      </c>
      <c r="N57" s="2">
        <f t="shared" si="6"/>
        <v>1375000</v>
      </c>
      <c r="AL57" s="59">
        <f t="shared" si="7"/>
        <v>1697824.46</v>
      </c>
      <c r="AM57" s="90">
        <f>+AM58+AM59</f>
        <v>0</v>
      </c>
      <c r="AN57" s="90">
        <f>+AN58+AN59</f>
        <v>0</v>
      </c>
      <c r="AO57" s="90">
        <f>+AO58+AO59</f>
        <v>1657824.46</v>
      </c>
      <c r="AP57" s="91">
        <f>+AP58+AP59</f>
        <v>0</v>
      </c>
      <c r="AQ57" s="68">
        <f>+AQ58+AQ59</f>
        <v>40000</v>
      </c>
      <c r="AS57" s="1">
        <f t="shared" si="4"/>
        <v>1657824.46</v>
      </c>
    </row>
    <row r="58" spans="1:45" ht="11.25">
      <c r="A58" s="69"/>
      <c r="B58" s="92"/>
      <c r="C58" s="56" t="s">
        <v>81</v>
      </c>
      <c r="D58" s="8">
        <v>416111</v>
      </c>
      <c r="E58" s="19" t="s">
        <v>82</v>
      </c>
      <c r="F58" s="59">
        <f t="shared" si="5"/>
        <v>1700000</v>
      </c>
      <c r="G58" s="59"/>
      <c r="H58" s="59"/>
      <c r="I58" s="59">
        <v>1650000</v>
      </c>
      <c r="J58" s="86"/>
      <c r="K58" s="59">
        <v>50000</v>
      </c>
      <c r="N58" s="2">
        <f t="shared" si="6"/>
        <v>1375000</v>
      </c>
      <c r="AL58" s="59">
        <f t="shared" si="7"/>
        <v>1657824.46</v>
      </c>
      <c r="AM58" s="59"/>
      <c r="AN58" s="59"/>
      <c r="AO58" s="59">
        <v>1657824.46</v>
      </c>
      <c r="AP58" s="86"/>
      <c r="AQ58" s="59"/>
      <c r="AS58" s="1">
        <f t="shared" si="4"/>
        <v>1657824.46</v>
      </c>
    </row>
    <row r="59" spans="1:45" ht="11.25">
      <c r="A59" s="87"/>
      <c r="B59" s="92"/>
      <c r="C59" s="56" t="s">
        <v>83</v>
      </c>
      <c r="D59" s="82">
        <v>416131</v>
      </c>
      <c r="E59" s="93" t="s">
        <v>84</v>
      </c>
      <c r="F59" s="59">
        <f t="shared" si="5"/>
        <v>50000</v>
      </c>
      <c r="G59" s="59"/>
      <c r="H59" s="59"/>
      <c r="I59" s="59"/>
      <c r="J59" s="86"/>
      <c r="K59" s="59">
        <v>50000</v>
      </c>
      <c r="N59" s="2">
        <f t="shared" si="6"/>
        <v>0</v>
      </c>
      <c r="AL59" s="59">
        <f t="shared" si="7"/>
        <v>40000</v>
      </c>
      <c r="AM59" s="59"/>
      <c r="AN59" s="59"/>
      <c r="AO59" s="59"/>
      <c r="AP59" s="86"/>
      <c r="AQ59" s="59">
        <v>40000</v>
      </c>
      <c r="AS59" s="1">
        <f t="shared" si="4"/>
        <v>0</v>
      </c>
    </row>
    <row r="60" spans="1:45" ht="12" customHeight="1">
      <c r="A60" s="23" t="s">
        <v>33</v>
      </c>
      <c r="B60" s="94">
        <v>420000</v>
      </c>
      <c r="C60" s="94"/>
      <c r="D60" s="304" t="s">
        <v>85</v>
      </c>
      <c r="E60" s="304"/>
      <c r="F60" s="95">
        <f>+F61+F91+F100+F118+F122+F157</f>
        <v>89026000</v>
      </c>
      <c r="G60" s="52"/>
      <c r="H60" s="52">
        <f>+H61+H91+H100+H118+H122+H157</f>
        <v>9012000</v>
      </c>
      <c r="I60" s="52">
        <f>+I61+I91+I100+I118+I122+I157</f>
        <v>77094000</v>
      </c>
      <c r="J60" s="52">
        <f>+J61+J91+J100+J118+J122+J157</f>
        <v>0</v>
      </c>
      <c r="K60" s="52">
        <f>+K61+K91+K100+K118+K122+K157</f>
        <v>2920000</v>
      </c>
      <c r="N60" s="2">
        <f t="shared" si="6"/>
        <v>64245000</v>
      </c>
      <c r="AL60" s="52">
        <f aca="true" t="shared" si="8" ref="AL60:AQ60">+AL61+AL91+AL100+AL118+AL122+AL157</f>
        <v>67964029</v>
      </c>
      <c r="AM60" s="52">
        <f t="shared" si="8"/>
        <v>0</v>
      </c>
      <c r="AN60" s="52">
        <f t="shared" si="8"/>
        <v>0</v>
      </c>
      <c r="AO60" s="52">
        <f t="shared" si="8"/>
        <v>64004729</v>
      </c>
      <c r="AP60" s="96">
        <f t="shared" si="8"/>
        <v>150000</v>
      </c>
      <c r="AQ60" s="52">
        <f t="shared" si="8"/>
        <v>3809300</v>
      </c>
      <c r="AS60" s="1">
        <f t="shared" si="4"/>
        <v>64154729</v>
      </c>
    </row>
    <row r="61" spans="1:45" ht="12" customHeight="1">
      <c r="A61" s="10">
        <v>1</v>
      </c>
      <c r="B61" s="97">
        <v>421000</v>
      </c>
      <c r="C61" s="98"/>
      <c r="D61" s="303" t="s">
        <v>86</v>
      </c>
      <c r="E61" s="303"/>
      <c r="F61" s="99">
        <f aca="true" t="shared" si="9" ref="F61:F72">+G61+H61+I61+J61+K61</f>
        <v>26135000</v>
      </c>
      <c r="G61" s="100"/>
      <c r="H61" s="90">
        <f>+H62+H65+H69+H75+H83+H88+H90+H89</f>
        <v>0</v>
      </c>
      <c r="I61" s="90">
        <f>+I62+I65+I69+I75+I83+I88+I90+I89</f>
        <v>26000000</v>
      </c>
      <c r="J61" s="90">
        <f>+J62+J65+J69+J75+J83+J88+J90+J89</f>
        <v>0</v>
      </c>
      <c r="K61" s="90">
        <f>+K62+K65+K69+K75+K83+K88+K90+K89</f>
        <v>135000</v>
      </c>
      <c r="N61" s="2">
        <f t="shared" si="6"/>
        <v>21666666.666666668</v>
      </c>
      <c r="AL61" s="99">
        <f aca="true" t="shared" si="10" ref="AL61:AL66">+AM61+AN61+AO61+AP61+AQ61</f>
        <v>27557000</v>
      </c>
      <c r="AM61" s="100"/>
      <c r="AN61" s="100"/>
      <c r="AO61" s="90">
        <f>+AO62+AO65+AO69+AO75+AO83+AO88+AO90+AO89</f>
        <v>26813000</v>
      </c>
      <c r="AP61" s="90">
        <f>+AP62+AP65+AP69+AP75+AP83+AP88+AP90</f>
        <v>0</v>
      </c>
      <c r="AQ61" s="90">
        <f>+AQ62+AQ65+AQ69+AQ75+AQ83+AQ88+AQ90</f>
        <v>744000</v>
      </c>
      <c r="AS61" s="1">
        <f t="shared" si="4"/>
        <v>26813000</v>
      </c>
    </row>
    <row r="62" spans="1:45" ht="22.5">
      <c r="A62" s="72"/>
      <c r="B62" s="4"/>
      <c r="C62" s="15" t="s">
        <v>87</v>
      </c>
      <c r="D62" s="11">
        <v>421100</v>
      </c>
      <c r="E62" s="101" t="s">
        <v>88</v>
      </c>
      <c r="F62" s="99">
        <f t="shared" si="9"/>
        <v>420000</v>
      </c>
      <c r="G62" s="99">
        <f>+G63+G64</f>
        <v>0</v>
      </c>
      <c r="H62" s="99">
        <f>+H63+H64</f>
        <v>0</v>
      </c>
      <c r="I62" s="99">
        <f>+I63+I64</f>
        <v>370000</v>
      </c>
      <c r="J62" s="99">
        <f>+J63+J64</f>
        <v>0</v>
      </c>
      <c r="K62" s="99">
        <f>+K63+K64</f>
        <v>50000</v>
      </c>
      <c r="N62" s="2">
        <f t="shared" si="6"/>
        <v>308333.3333333334</v>
      </c>
      <c r="AL62" s="99">
        <f t="shared" si="10"/>
        <v>376000</v>
      </c>
      <c r="AM62" s="99">
        <f>+AM63+AM64</f>
        <v>0</v>
      </c>
      <c r="AN62" s="99">
        <f>+AN63+AN64</f>
        <v>0</v>
      </c>
      <c r="AO62" s="99">
        <f>AO63+AO64</f>
        <v>331000</v>
      </c>
      <c r="AP62" s="99">
        <f>+AP63+AP64</f>
        <v>0</v>
      </c>
      <c r="AQ62" s="61">
        <f>+AQ63+AQ64</f>
        <v>45000</v>
      </c>
      <c r="AS62" s="1">
        <f t="shared" si="4"/>
        <v>331000</v>
      </c>
    </row>
    <row r="63" spans="1:45" ht="11.25">
      <c r="A63" s="75"/>
      <c r="B63" s="305"/>
      <c r="C63" s="103" t="s">
        <v>89</v>
      </c>
      <c r="D63" s="8">
        <v>421111</v>
      </c>
      <c r="E63" s="19" t="s">
        <v>90</v>
      </c>
      <c r="F63" s="59">
        <f t="shared" si="9"/>
        <v>420000</v>
      </c>
      <c r="G63" s="59"/>
      <c r="H63" s="59"/>
      <c r="I63" s="59">
        <v>370000</v>
      </c>
      <c r="J63" s="86"/>
      <c r="K63" s="59">
        <v>50000</v>
      </c>
      <c r="N63" s="2">
        <v>161130</v>
      </c>
      <c r="AL63" s="59">
        <f t="shared" si="10"/>
        <v>375000</v>
      </c>
      <c r="AM63" s="59"/>
      <c r="AN63" s="59"/>
      <c r="AO63" s="59">
        <v>330000</v>
      </c>
      <c r="AP63" s="86"/>
      <c r="AQ63" s="59">
        <v>45000</v>
      </c>
      <c r="AS63" s="1">
        <f t="shared" si="4"/>
        <v>330000</v>
      </c>
    </row>
    <row r="64" spans="1:45" ht="11.25">
      <c r="A64" s="79"/>
      <c r="B64" s="305"/>
      <c r="C64" s="103" t="s">
        <v>91</v>
      </c>
      <c r="D64" s="8">
        <v>421121</v>
      </c>
      <c r="E64" s="19" t="s">
        <v>92</v>
      </c>
      <c r="F64" s="59">
        <f t="shared" si="9"/>
        <v>0</v>
      </c>
      <c r="G64" s="59"/>
      <c r="H64" s="59"/>
      <c r="I64" s="59"/>
      <c r="J64" s="86"/>
      <c r="K64" s="59"/>
      <c r="N64" s="2">
        <v>500</v>
      </c>
      <c r="AL64" s="59">
        <f t="shared" si="10"/>
        <v>1000</v>
      </c>
      <c r="AM64" s="59"/>
      <c r="AN64" s="59"/>
      <c r="AO64" s="59">
        <v>1000</v>
      </c>
      <c r="AP64" s="86"/>
      <c r="AQ64" s="59"/>
      <c r="AS64" s="1">
        <f t="shared" si="4"/>
        <v>1000</v>
      </c>
    </row>
    <row r="65" spans="1:45" ht="11.25">
      <c r="A65" s="75"/>
      <c r="B65" s="4"/>
      <c r="C65" s="15" t="s">
        <v>93</v>
      </c>
      <c r="D65" s="11">
        <v>421200</v>
      </c>
      <c r="E65" s="104" t="s">
        <v>94</v>
      </c>
      <c r="F65" s="61">
        <f t="shared" si="9"/>
        <v>23000000</v>
      </c>
      <c r="G65" s="105">
        <f>+G66+G68</f>
        <v>0</v>
      </c>
      <c r="H65" s="105">
        <f>+H66+H68</f>
        <v>0</v>
      </c>
      <c r="I65" s="105">
        <f>+I66+I68+I67</f>
        <v>23000000</v>
      </c>
      <c r="J65" s="105">
        <f>+J66+J68</f>
        <v>0</v>
      </c>
      <c r="K65" s="106">
        <f>+K66+K68</f>
        <v>0</v>
      </c>
      <c r="AL65" s="61">
        <f t="shared" si="10"/>
        <v>24640000</v>
      </c>
      <c r="AM65" s="105">
        <f>+AM66+AM68</f>
        <v>0</v>
      </c>
      <c r="AN65" s="105">
        <f>+AN66+AN68</f>
        <v>0</v>
      </c>
      <c r="AO65" s="105">
        <f>+AO66+AO68</f>
        <v>24021000</v>
      </c>
      <c r="AP65" s="105">
        <f>+AP66+AP68</f>
        <v>0</v>
      </c>
      <c r="AQ65" s="106">
        <f>+AQ66+AQ68</f>
        <v>619000</v>
      </c>
      <c r="AS65" s="1">
        <f t="shared" si="4"/>
        <v>24021000</v>
      </c>
    </row>
    <row r="66" spans="1:45" ht="11.25">
      <c r="A66" s="75"/>
      <c r="B66" s="306"/>
      <c r="C66" s="103" t="s">
        <v>95</v>
      </c>
      <c r="D66" s="8">
        <v>421211</v>
      </c>
      <c r="E66" s="19" t="s">
        <v>96</v>
      </c>
      <c r="F66" s="59">
        <f t="shared" si="9"/>
        <v>9800000</v>
      </c>
      <c r="G66" s="59"/>
      <c r="H66" s="59"/>
      <c r="I66" s="59">
        <v>9800000</v>
      </c>
      <c r="J66" s="86"/>
      <c r="K66" s="59"/>
      <c r="N66" s="2">
        <f>+I66/1.1</f>
        <v>8909090.909090908</v>
      </c>
      <c r="AL66" s="59">
        <f t="shared" si="10"/>
        <v>8944000</v>
      </c>
      <c r="AM66" s="59"/>
      <c r="AN66" s="59"/>
      <c r="AO66" s="59">
        <v>8600000</v>
      </c>
      <c r="AP66" s="86"/>
      <c r="AQ66" s="59">
        <v>344000</v>
      </c>
      <c r="AS66" s="1">
        <f t="shared" si="4"/>
        <v>8600000</v>
      </c>
    </row>
    <row r="67" spans="1:43" ht="11.25">
      <c r="A67" s="75"/>
      <c r="B67" s="306"/>
      <c r="C67" s="103" t="s">
        <v>97</v>
      </c>
      <c r="D67" s="8">
        <v>421223</v>
      </c>
      <c r="E67" s="19" t="s">
        <v>98</v>
      </c>
      <c r="F67" s="59">
        <f t="shared" si="9"/>
        <v>200000</v>
      </c>
      <c r="G67" s="59"/>
      <c r="H67" s="59"/>
      <c r="I67" s="59">
        <v>200000</v>
      </c>
      <c r="J67" s="86"/>
      <c r="K67" s="59"/>
      <c r="AL67" s="59"/>
      <c r="AM67" s="59"/>
      <c r="AN67" s="59"/>
      <c r="AO67" s="59"/>
      <c r="AP67" s="86"/>
      <c r="AQ67" s="59"/>
    </row>
    <row r="68" spans="1:45" ht="11.25">
      <c r="A68" s="75"/>
      <c r="B68" s="306"/>
      <c r="C68" s="103" t="s">
        <v>99</v>
      </c>
      <c r="D68" s="8">
        <v>421224</v>
      </c>
      <c r="E68" s="19" t="s">
        <v>100</v>
      </c>
      <c r="F68" s="59">
        <f t="shared" si="9"/>
        <v>13000000</v>
      </c>
      <c r="G68" s="59"/>
      <c r="H68" s="59"/>
      <c r="I68" s="59">
        <v>13000000</v>
      </c>
      <c r="J68" s="86"/>
      <c r="K68" s="59"/>
      <c r="N68" s="2">
        <f>+I68/1.2</f>
        <v>10833333.333333334</v>
      </c>
      <c r="AL68" s="59">
        <f>+AM68+AN68+AO68+AP68+AQ68</f>
        <v>15696000</v>
      </c>
      <c r="AM68" s="59"/>
      <c r="AN68" s="59"/>
      <c r="AO68" s="59">
        <v>15421000</v>
      </c>
      <c r="AP68" s="86"/>
      <c r="AQ68" s="59">
        <v>275000</v>
      </c>
      <c r="AS68" s="1">
        <f>AL68-AN68-AQ68</f>
        <v>15421000</v>
      </c>
    </row>
    <row r="69" spans="1:45" ht="11.25">
      <c r="A69" s="75"/>
      <c r="B69" s="4"/>
      <c r="C69" s="107" t="s">
        <v>101</v>
      </c>
      <c r="D69" s="11">
        <v>421300</v>
      </c>
      <c r="E69" s="101" t="s">
        <v>102</v>
      </c>
      <c r="F69" s="61">
        <f t="shared" si="9"/>
        <v>1032000</v>
      </c>
      <c r="G69" s="99">
        <f>+G70+G72+G74+G73</f>
        <v>0</v>
      </c>
      <c r="H69" s="99">
        <f>+H70+H72+H74+H73</f>
        <v>0</v>
      </c>
      <c r="I69" s="99">
        <f>+I70+I72+I74+I73+I71</f>
        <v>1032000</v>
      </c>
      <c r="J69" s="99">
        <f>+J70+J72+J74+J73</f>
        <v>0</v>
      </c>
      <c r="K69" s="61">
        <f>+K70+K72+K74+K73</f>
        <v>0</v>
      </c>
      <c r="N69" s="2">
        <f>+I69/1.2</f>
        <v>860000</v>
      </c>
      <c r="AL69" s="61">
        <f>+AM69+AN69+AO69+AP69+AQ69</f>
        <v>887000</v>
      </c>
      <c r="AM69" s="99">
        <f>+AM70+AM72+AM74+AM73</f>
        <v>0</v>
      </c>
      <c r="AN69" s="99">
        <f>+AN70+AN72+AN74+AN73</f>
        <v>0</v>
      </c>
      <c r="AO69" s="99">
        <f>+AO70+AO72+AO74+AO73</f>
        <v>887000</v>
      </c>
      <c r="AP69" s="99">
        <f>+AP70+AP72+AP74+AP73</f>
        <v>0</v>
      </c>
      <c r="AQ69" s="61">
        <f>+AQ70+AQ72+AQ74+AQ73</f>
        <v>0</v>
      </c>
      <c r="AS69" s="1">
        <f>AL69-AN69-AQ69</f>
        <v>887000</v>
      </c>
    </row>
    <row r="70" spans="1:45" ht="11.25">
      <c r="A70" s="75"/>
      <c r="B70" s="306"/>
      <c r="C70" s="103" t="s">
        <v>103</v>
      </c>
      <c r="D70" s="8">
        <v>421311</v>
      </c>
      <c r="E70" s="19" t="s">
        <v>104</v>
      </c>
      <c r="F70" s="59">
        <f t="shared" si="9"/>
        <v>660000</v>
      </c>
      <c r="G70" s="59"/>
      <c r="H70" s="59"/>
      <c r="I70" s="59">
        <v>660000</v>
      </c>
      <c r="J70" s="86"/>
      <c r="K70" s="59"/>
      <c r="N70" s="2">
        <f>+I70/1.1</f>
        <v>600000</v>
      </c>
      <c r="AL70" s="59">
        <f>+AM70+AN70+AO70+AP70+AQ70</f>
        <v>800000</v>
      </c>
      <c r="AM70" s="59"/>
      <c r="AN70" s="59"/>
      <c r="AO70" s="59">
        <v>800000</v>
      </c>
      <c r="AP70" s="86"/>
      <c r="AQ70" s="59"/>
      <c r="AS70" s="1">
        <f>AL70-AN70-AQ70</f>
        <v>800000</v>
      </c>
    </row>
    <row r="71" spans="1:43" ht="11.25">
      <c r="A71" s="75"/>
      <c r="B71" s="306"/>
      <c r="C71" s="103" t="s">
        <v>105</v>
      </c>
      <c r="D71" s="8">
        <v>421321</v>
      </c>
      <c r="E71" s="19" t="s">
        <v>106</v>
      </c>
      <c r="F71" s="59">
        <f t="shared" si="9"/>
        <v>10000</v>
      </c>
      <c r="G71" s="59"/>
      <c r="H71" s="59"/>
      <c r="I71" s="59">
        <v>10000</v>
      </c>
      <c r="J71" s="86"/>
      <c r="K71" s="59"/>
      <c r="AL71" s="59"/>
      <c r="AM71" s="59"/>
      <c r="AN71" s="59"/>
      <c r="AO71" s="59"/>
      <c r="AP71" s="86"/>
      <c r="AQ71" s="59"/>
    </row>
    <row r="72" spans="1:45" ht="11.25">
      <c r="A72" s="75"/>
      <c r="B72" s="306"/>
      <c r="C72" s="103" t="s">
        <v>107</v>
      </c>
      <c r="D72" s="8">
        <v>421324</v>
      </c>
      <c r="E72" s="19" t="s">
        <v>108</v>
      </c>
      <c r="F72" s="59">
        <f t="shared" si="9"/>
        <v>320000</v>
      </c>
      <c r="G72" s="59"/>
      <c r="H72" s="59"/>
      <c r="I72" s="59">
        <v>320000</v>
      </c>
      <c r="J72" s="86"/>
      <c r="K72" s="59"/>
      <c r="N72" s="2">
        <f>+I72/1.1</f>
        <v>290909.0909090909</v>
      </c>
      <c r="AL72" s="59">
        <f>+AM72+AN72+AO72+AP72+AQ72</f>
        <v>76000</v>
      </c>
      <c r="AM72" s="59"/>
      <c r="AN72" s="59"/>
      <c r="AO72" s="59">
        <v>76000</v>
      </c>
      <c r="AP72" s="86"/>
      <c r="AQ72" s="59"/>
      <c r="AS72" s="1">
        <f aca="true" t="shared" si="11" ref="AS72:AS103">AL72-AN72-AQ72</f>
        <v>76000</v>
      </c>
    </row>
    <row r="73" spans="1:45" ht="11.25">
      <c r="A73" s="75"/>
      <c r="B73" s="306"/>
      <c r="C73" s="103" t="s">
        <v>109</v>
      </c>
      <c r="D73" s="8">
        <v>4213241</v>
      </c>
      <c r="E73" s="19" t="s">
        <v>110</v>
      </c>
      <c r="F73" s="59">
        <f>G73+H73+I73+J73+K73</f>
        <v>35000</v>
      </c>
      <c r="G73" s="59"/>
      <c r="H73" s="59"/>
      <c r="I73" s="59">
        <v>35000</v>
      </c>
      <c r="J73" s="86"/>
      <c r="K73" s="59"/>
      <c r="N73" s="2">
        <f>+I73/1.2</f>
        <v>29166.666666666668</v>
      </c>
      <c r="AL73" s="59">
        <f>+AM73+AN73+AO73+AP73+AQ73</f>
        <v>1000</v>
      </c>
      <c r="AM73" s="59"/>
      <c r="AN73" s="59"/>
      <c r="AO73" s="59">
        <v>1000</v>
      </c>
      <c r="AP73" s="86"/>
      <c r="AQ73" s="59"/>
      <c r="AS73" s="1">
        <f t="shared" si="11"/>
        <v>1000</v>
      </c>
    </row>
    <row r="74" spans="1:45" ht="11.25">
      <c r="A74" s="75"/>
      <c r="B74" s="306"/>
      <c r="C74" s="103" t="s">
        <v>111</v>
      </c>
      <c r="D74" s="8">
        <v>421392</v>
      </c>
      <c r="E74" s="19" t="s">
        <v>112</v>
      </c>
      <c r="F74" s="59">
        <f>+G74+H74+I74+J74+K74</f>
        <v>7000</v>
      </c>
      <c r="G74" s="59"/>
      <c r="H74" s="59"/>
      <c r="I74" s="59">
        <v>7000</v>
      </c>
      <c r="J74" s="86"/>
      <c r="K74" s="59"/>
      <c r="N74" s="2">
        <f>+I74/1.2</f>
        <v>5833.333333333334</v>
      </c>
      <c r="AL74" s="59">
        <f>+AM74+AN74+AO74+AP74+AQ74</f>
        <v>10000</v>
      </c>
      <c r="AM74" s="59"/>
      <c r="AN74" s="59"/>
      <c r="AO74" s="59">
        <v>10000</v>
      </c>
      <c r="AP74" s="86"/>
      <c r="AQ74" s="59"/>
      <c r="AS74" s="1">
        <f t="shared" si="11"/>
        <v>10000</v>
      </c>
    </row>
    <row r="75" spans="1:45" ht="11.25">
      <c r="A75" s="75"/>
      <c r="B75" s="93"/>
      <c r="C75" s="107" t="s">
        <v>113</v>
      </c>
      <c r="D75" s="11">
        <v>421400</v>
      </c>
      <c r="E75" s="101" t="s">
        <v>114</v>
      </c>
      <c r="F75" s="61">
        <f>G75+H75+I75+J75+K75</f>
        <v>823000</v>
      </c>
      <c r="G75" s="99">
        <f>+G76+G77+G78+G80</f>
        <v>0</v>
      </c>
      <c r="H75" s="99">
        <f>+H76+H77+H78+H80</f>
        <v>0</v>
      </c>
      <c r="I75" s="99">
        <f>+I76+I77+I78+I80+I79+I81+I82</f>
        <v>788000</v>
      </c>
      <c r="J75" s="99">
        <f>+J76+J77+J78+J80</f>
        <v>0</v>
      </c>
      <c r="K75" s="61">
        <f>K77+K79</f>
        <v>35000</v>
      </c>
      <c r="N75" s="2">
        <f>+I75/1.2</f>
        <v>656666.6666666667</v>
      </c>
      <c r="AL75" s="59">
        <f>AM75+AN75+AO75+AP75+AQ75</f>
        <v>602000</v>
      </c>
      <c r="AM75" s="99">
        <f>+AM76+AM77+AM78+AM80</f>
        <v>0</v>
      </c>
      <c r="AN75" s="99">
        <f>+AN76+AN77+AN78+AN80</f>
        <v>0</v>
      </c>
      <c r="AO75" s="99">
        <f>+AO76+AO77+AO78+AO80+AO79+AO81+AO82</f>
        <v>522000</v>
      </c>
      <c r="AP75" s="99">
        <f>+AP76+AP77+AP78+AP80</f>
        <v>0</v>
      </c>
      <c r="AQ75" s="61">
        <f>AQ77+AQ79</f>
        <v>80000</v>
      </c>
      <c r="AS75" s="1">
        <f t="shared" si="11"/>
        <v>522000</v>
      </c>
    </row>
    <row r="76" spans="1:45" ht="11.25">
      <c r="A76" s="75"/>
      <c r="B76" s="306"/>
      <c r="C76" s="103" t="s">
        <v>115</v>
      </c>
      <c r="D76" s="8">
        <v>421411</v>
      </c>
      <c r="E76" s="19" t="s">
        <v>116</v>
      </c>
      <c r="F76" s="59">
        <f aca="true" t="shared" si="12" ref="F76:F88">+G76+H76+I76+J76+K76</f>
        <v>380000</v>
      </c>
      <c r="G76" s="59"/>
      <c r="H76" s="59"/>
      <c r="I76" s="59">
        <v>380000</v>
      </c>
      <c r="J76" s="86"/>
      <c r="K76" s="59"/>
      <c r="N76" s="2">
        <f>+I76/1.2</f>
        <v>316666.6666666667</v>
      </c>
      <c r="AL76" s="59">
        <f aca="true" t="shared" si="13" ref="AL76:AL101">+AM76+AN76+AO76+AP76+AQ76</f>
        <v>400000</v>
      </c>
      <c r="AM76" s="59"/>
      <c r="AN76" s="59"/>
      <c r="AO76" s="59">
        <v>400000</v>
      </c>
      <c r="AP76" s="86"/>
      <c r="AQ76" s="59"/>
      <c r="AS76" s="1">
        <f t="shared" si="11"/>
        <v>400000</v>
      </c>
    </row>
    <row r="77" spans="1:45" ht="11.25">
      <c r="A77" s="75"/>
      <c r="B77" s="306"/>
      <c r="C77" s="103" t="s">
        <v>117</v>
      </c>
      <c r="D77" s="8">
        <v>421414</v>
      </c>
      <c r="E77" s="19" t="s">
        <v>118</v>
      </c>
      <c r="F77" s="59">
        <f t="shared" si="12"/>
        <v>85000</v>
      </c>
      <c r="G77" s="59"/>
      <c r="H77" s="59"/>
      <c r="I77" s="59">
        <v>70000</v>
      </c>
      <c r="J77" s="108"/>
      <c r="K77" s="59">
        <v>15000</v>
      </c>
      <c r="N77" s="2">
        <f>+F77/1.2</f>
        <v>70833.33333333334</v>
      </c>
      <c r="AL77" s="59">
        <f t="shared" si="13"/>
        <v>90000</v>
      </c>
      <c r="AM77" s="59"/>
      <c r="AN77" s="59"/>
      <c r="AO77" s="59">
        <v>10000</v>
      </c>
      <c r="AP77" s="108"/>
      <c r="AQ77" s="59">
        <v>80000</v>
      </c>
      <c r="AS77" s="1">
        <f t="shared" si="11"/>
        <v>10000</v>
      </c>
    </row>
    <row r="78" spans="1:45" ht="11.25">
      <c r="A78" s="75"/>
      <c r="B78" s="109"/>
      <c r="C78" s="103" t="s">
        <v>119</v>
      </c>
      <c r="D78" s="8">
        <v>421412</v>
      </c>
      <c r="E78" s="58" t="s">
        <v>120</v>
      </c>
      <c r="F78" s="59">
        <f t="shared" si="12"/>
        <v>290000</v>
      </c>
      <c r="G78" s="86"/>
      <c r="H78" s="86"/>
      <c r="I78" s="86">
        <v>290000</v>
      </c>
      <c r="J78" s="86"/>
      <c r="K78" s="59"/>
      <c r="N78" s="2">
        <f>+I78/1.2</f>
        <v>241666.6666666667</v>
      </c>
      <c r="AL78" s="59">
        <f t="shared" si="13"/>
        <v>50000</v>
      </c>
      <c r="AM78" s="86"/>
      <c r="AN78" s="86"/>
      <c r="AO78" s="86">
        <v>50000</v>
      </c>
      <c r="AP78" s="86"/>
      <c r="AQ78" s="59"/>
      <c r="AS78" s="1">
        <f t="shared" si="11"/>
        <v>50000</v>
      </c>
    </row>
    <row r="79" spans="1:45" ht="11.25">
      <c r="A79" s="75"/>
      <c r="B79" s="109"/>
      <c r="C79" s="103" t="s">
        <v>121</v>
      </c>
      <c r="D79" s="8">
        <v>421412</v>
      </c>
      <c r="E79" s="58" t="s">
        <v>122</v>
      </c>
      <c r="F79" s="59">
        <f t="shared" si="12"/>
        <v>20000</v>
      </c>
      <c r="G79" s="86"/>
      <c r="H79" s="86"/>
      <c r="I79" s="86"/>
      <c r="J79" s="86"/>
      <c r="K79" s="59">
        <v>20000</v>
      </c>
      <c r="AL79" s="59">
        <f t="shared" si="13"/>
        <v>0</v>
      </c>
      <c r="AM79" s="86"/>
      <c r="AN79" s="86"/>
      <c r="AO79" s="86">
        <v>0</v>
      </c>
      <c r="AP79" s="86"/>
      <c r="AQ79" s="59"/>
      <c r="AS79" s="1">
        <f t="shared" si="11"/>
        <v>0</v>
      </c>
    </row>
    <row r="80" spans="1:45" ht="11.25">
      <c r="A80" s="75"/>
      <c r="B80" s="109"/>
      <c r="C80" s="103" t="s">
        <v>123</v>
      </c>
      <c r="D80" s="8">
        <v>421419</v>
      </c>
      <c r="E80" s="58" t="s">
        <v>124</v>
      </c>
      <c r="F80" s="59">
        <f t="shared" si="12"/>
        <v>0</v>
      </c>
      <c r="G80" s="86"/>
      <c r="H80" s="86"/>
      <c r="I80" s="86"/>
      <c r="J80" s="86"/>
      <c r="K80" s="59"/>
      <c r="N80" s="2">
        <f>+I80/1.2</f>
        <v>0</v>
      </c>
      <c r="AL80" s="59">
        <f t="shared" si="13"/>
        <v>20000</v>
      </c>
      <c r="AM80" s="86"/>
      <c r="AN80" s="86"/>
      <c r="AO80" s="86">
        <v>20000</v>
      </c>
      <c r="AP80" s="86"/>
      <c r="AQ80" s="59"/>
      <c r="AS80" s="1">
        <f t="shared" si="11"/>
        <v>20000</v>
      </c>
    </row>
    <row r="81" spans="1:45" ht="11.25">
      <c r="A81" s="75"/>
      <c r="B81" s="109"/>
      <c r="C81" s="103" t="s">
        <v>125</v>
      </c>
      <c r="D81" s="8">
        <v>421421</v>
      </c>
      <c r="E81" s="58" t="s">
        <v>126</v>
      </c>
      <c r="F81" s="59">
        <f t="shared" si="12"/>
        <v>50000</v>
      </c>
      <c r="G81" s="86"/>
      <c r="H81" s="86"/>
      <c r="I81" s="86">
        <v>45000</v>
      </c>
      <c r="J81" s="86"/>
      <c r="K81" s="59">
        <v>5000</v>
      </c>
      <c r="AL81" s="59">
        <f t="shared" si="13"/>
        <v>40000</v>
      </c>
      <c r="AM81" s="86"/>
      <c r="AN81" s="86"/>
      <c r="AO81" s="86">
        <v>40000</v>
      </c>
      <c r="AP81" s="86"/>
      <c r="AQ81" s="59"/>
      <c r="AS81" s="1">
        <f t="shared" si="11"/>
        <v>40000</v>
      </c>
    </row>
    <row r="82" spans="1:45" ht="11.25">
      <c r="A82" s="75"/>
      <c r="B82" s="109"/>
      <c r="C82" s="103" t="s">
        <v>127</v>
      </c>
      <c r="D82" s="8">
        <v>421429</v>
      </c>
      <c r="E82" s="58" t="s">
        <v>128</v>
      </c>
      <c r="F82" s="59">
        <f t="shared" si="12"/>
        <v>3000</v>
      </c>
      <c r="G82" s="86"/>
      <c r="H82" s="86"/>
      <c r="I82" s="86">
        <v>3000</v>
      </c>
      <c r="J82" s="86"/>
      <c r="K82" s="59"/>
      <c r="AL82" s="59">
        <f t="shared" si="13"/>
        <v>2000</v>
      </c>
      <c r="AM82" s="86"/>
      <c r="AN82" s="86"/>
      <c r="AO82" s="86">
        <v>2000</v>
      </c>
      <c r="AP82" s="86"/>
      <c r="AQ82" s="59"/>
      <c r="AS82" s="1">
        <f t="shared" si="11"/>
        <v>2000</v>
      </c>
    </row>
    <row r="83" spans="1:45" ht="11.25">
      <c r="A83" s="75"/>
      <c r="B83" s="110"/>
      <c r="C83" s="107" t="s">
        <v>129</v>
      </c>
      <c r="D83" s="11">
        <v>421500</v>
      </c>
      <c r="E83" s="101" t="s">
        <v>130</v>
      </c>
      <c r="F83" s="61">
        <f t="shared" si="12"/>
        <v>485000</v>
      </c>
      <c r="G83" s="99">
        <f>+G84+G85+G86+G87</f>
        <v>0</v>
      </c>
      <c r="H83" s="99">
        <f>+H84+H85+H86+H87</f>
        <v>0</v>
      </c>
      <c r="I83" s="99">
        <f>+I84+I85+I86+I87</f>
        <v>485000</v>
      </c>
      <c r="J83" s="99">
        <f>+J84+J85+J86+J87</f>
        <v>0</v>
      </c>
      <c r="K83" s="61">
        <f>+K84+K85+K86+K87</f>
        <v>0</v>
      </c>
      <c r="N83" s="2">
        <f>+I83/1.2</f>
        <v>404166.6666666667</v>
      </c>
      <c r="AL83" s="59">
        <f t="shared" si="13"/>
        <v>942000</v>
      </c>
      <c r="AM83" s="99">
        <f>+AM84+AM85+AM86+AM87</f>
        <v>0</v>
      </c>
      <c r="AN83" s="99">
        <f>+AN84+AN85+AN86+AN87</f>
        <v>0</v>
      </c>
      <c r="AO83" s="99">
        <f>+AO84+AO85+AO86+AO87</f>
        <v>942000</v>
      </c>
      <c r="AP83" s="99">
        <f>+AP84+AP85+AP86+AP87</f>
        <v>0</v>
      </c>
      <c r="AQ83" s="61">
        <f>+AQ84+AQ85+AQ86+AQ87</f>
        <v>0</v>
      </c>
      <c r="AS83" s="1">
        <f t="shared" si="11"/>
        <v>942000</v>
      </c>
    </row>
    <row r="84" spans="1:45" ht="11.25">
      <c r="A84" s="111"/>
      <c r="B84" s="306"/>
      <c r="C84" s="112" t="s">
        <v>131</v>
      </c>
      <c r="D84" s="8">
        <v>421512</v>
      </c>
      <c r="E84" s="19" t="s">
        <v>132</v>
      </c>
      <c r="F84" s="59">
        <f t="shared" si="12"/>
        <v>220000</v>
      </c>
      <c r="G84" s="59"/>
      <c r="H84" s="59"/>
      <c r="I84" s="113">
        <v>220000</v>
      </c>
      <c r="J84" s="86"/>
      <c r="K84" s="59"/>
      <c r="N84" s="2">
        <v>45000</v>
      </c>
      <c r="AL84" s="59">
        <f t="shared" si="13"/>
        <v>310000</v>
      </c>
      <c r="AM84" s="59"/>
      <c r="AN84" s="59"/>
      <c r="AO84" s="113">
        <v>310000</v>
      </c>
      <c r="AP84" s="86"/>
      <c r="AQ84" s="59"/>
      <c r="AS84" s="1">
        <f t="shared" si="11"/>
        <v>310000</v>
      </c>
    </row>
    <row r="85" spans="1:45" ht="11.25">
      <c r="A85" s="111"/>
      <c r="B85" s="306"/>
      <c r="C85" s="112" t="s">
        <v>133</v>
      </c>
      <c r="D85" s="8">
        <v>421519</v>
      </c>
      <c r="E85" s="19" t="s">
        <v>134</v>
      </c>
      <c r="F85" s="59">
        <f t="shared" si="12"/>
        <v>10000</v>
      </c>
      <c r="G85" s="59"/>
      <c r="H85" s="59"/>
      <c r="I85" s="113">
        <v>10000</v>
      </c>
      <c r="J85" s="86"/>
      <c r="K85" s="59"/>
      <c r="N85" s="2">
        <v>174000</v>
      </c>
      <c r="AL85" s="59">
        <f t="shared" si="13"/>
        <v>102000</v>
      </c>
      <c r="AM85" s="59"/>
      <c r="AN85" s="59"/>
      <c r="AO85" s="113">
        <v>102000</v>
      </c>
      <c r="AP85" s="86"/>
      <c r="AQ85" s="59"/>
      <c r="AS85" s="1">
        <f t="shared" si="11"/>
        <v>102000</v>
      </c>
    </row>
    <row r="86" spans="1:45" ht="11.25">
      <c r="A86" s="111"/>
      <c r="B86" s="306"/>
      <c r="C86" s="112" t="s">
        <v>135</v>
      </c>
      <c r="D86" s="8">
        <v>421521</v>
      </c>
      <c r="E86" s="19" t="s">
        <v>136</v>
      </c>
      <c r="F86" s="59">
        <f t="shared" si="12"/>
        <v>65000</v>
      </c>
      <c r="G86" s="59"/>
      <c r="H86" s="59"/>
      <c r="I86" s="113">
        <v>65000</v>
      </c>
      <c r="J86" s="86"/>
      <c r="K86" s="59"/>
      <c r="N86" s="2">
        <v>70000</v>
      </c>
      <c r="AL86" s="59">
        <f t="shared" si="13"/>
        <v>120000</v>
      </c>
      <c r="AM86" s="59"/>
      <c r="AN86" s="59"/>
      <c r="AO86" s="113">
        <v>120000</v>
      </c>
      <c r="AP86" s="86"/>
      <c r="AQ86" s="59"/>
      <c r="AS86" s="1">
        <f t="shared" si="11"/>
        <v>120000</v>
      </c>
    </row>
    <row r="87" spans="1:45" ht="11.25">
      <c r="A87" s="111"/>
      <c r="B87" s="114"/>
      <c r="C87" s="112" t="s">
        <v>137</v>
      </c>
      <c r="D87" s="8">
        <v>421513</v>
      </c>
      <c r="E87" s="58" t="s">
        <v>138</v>
      </c>
      <c r="F87" s="59">
        <f t="shared" si="12"/>
        <v>190000</v>
      </c>
      <c r="G87" s="86"/>
      <c r="H87" s="86"/>
      <c r="I87" s="115">
        <v>190000</v>
      </c>
      <c r="J87" s="86"/>
      <c r="K87" s="59"/>
      <c r="N87" s="2">
        <v>150000</v>
      </c>
      <c r="AL87" s="59">
        <f t="shared" si="13"/>
        <v>410000</v>
      </c>
      <c r="AM87" s="86"/>
      <c r="AN87" s="86"/>
      <c r="AO87" s="115">
        <v>410000</v>
      </c>
      <c r="AP87" s="86"/>
      <c r="AQ87" s="59"/>
      <c r="AS87" s="1">
        <f t="shared" si="11"/>
        <v>410000</v>
      </c>
    </row>
    <row r="88" spans="1:45" ht="11.25">
      <c r="A88" s="75"/>
      <c r="B88" s="116"/>
      <c r="C88" s="107" t="s">
        <v>139</v>
      </c>
      <c r="D88" s="117">
        <v>421622</v>
      </c>
      <c r="E88" s="101" t="s">
        <v>140</v>
      </c>
      <c r="F88" s="61">
        <f t="shared" si="12"/>
        <v>155000</v>
      </c>
      <c r="G88" s="99"/>
      <c r="H88" s="99"/>
      <c r="I88" s="118">
        <v>155000</v>
      </c>
      <c r="J88" s="99"/>
      <c r="K88" s="61"/>
      <c r="N88" s="2">
        <f>+I88/1.2</f>
        <v>129166.66666666667</v>
      </c>
      <c r="AL88" s="59">
        <f t="shared" si="13"/>
        <v>90000</v>
      </c>
      <c r="AM88" s="99"/>
      <c r="AN88" s="99"/>
      <c r="AO88" s="105">
        <v>90000</v>
      </c>
      <c r="AP88" s="99"/>
      <c r="AQ88" s="61"/>
      <c r="AS88" s="1">
        <f t="shared" si="11"/>
        <v>90000</v>
      </c>
    </row>
    <row r="89" spans="1:45" ht="11.25">
      <c r="A89" s="75"/>
      <c r="B89" s="116"/>
      <c r="C89" s="107" t="s">
        <v>141</v>
      </c>
      <c r="D89" s="117">
        <v>421625</v>
      </c>
      <c r="E89" s="101" t="s">
        <v>142</v>
      </c>
      <c r="F89" s="59">
        <f>G89+H89+I89+J89+K89</f>
        <v>170000</v>
      </c>
      <c r="G89" s="99"/>
      <c r="H89" s="99"/>
      <c r="I89" s="118">
        <v>170000</v>
      </c>
      <c r="J89" s="99"/>
      <c r="K89" s="61"/>
      <c r="AL89" s="59">
        <f t="shared" si="13"/>
        <v>20000</v>
      </c>
      <c r="AM89" s="99"/>
      <c r="AN89" s="99"/>
      <c r="AO89" s="105">
        <v>20000</v>
      </c>
      <c r="AP89" s="99"/>
      <c r="AQ89" s="61"/>
      <c r="AS89" s="1">
        <f t="shared" si="11"/>
        <v>20000</v>
      </c>
    </row>
    <row r="90" spans="1:45" ht="11.25">
      <c r="A90" s="79"/>
      <c r="B90" s="93"/>
      <c r="C90" s="107" t="s">
        <v>141</v>
      </c>
      <c r="D90" s="117">
        <v>421911</v>
      </c>
      <c r="E90" s="101" t="s">
        <v>143</v>
      </c>
      <c r="F90" s="61">
        <f>G90+H90+I90+J90+K90</f>
        <v>50000</v>
      </c>
      <c r="G90" s="99"/>
      <c r="H90" s="99"/>
      <c r="I90" s="99"/>
      <c r="J90" s="99"/>
      <c r="K90" s="59">
        <v>50000</v>
      </c>
      <c r="N90" s="2">
        <f aca="true" t="shared" si="14" ref="N90:N101">+I90/1.2</f>
        <v>0</v>
      </c>
      <c r="AL90" s="59">
        <f t="shared" si="13"/>
        <v>0</v>
      </c>
      <c r="AM90" s="99"/>
      <c r="AN90" s="99"/>
      <c r="AO90" s="99"/>
      <c r="AP90" s="99"/>
      <c r="AQ90" s="61"/>
      <c r="AS90" s="1">
        <f t="shared" si="11"/>
        <v>0</v>
      </c>
    </row>
    <row r="91" spans="1:45" ht="12" customHeight="1">
      <c r="A91" s="119">
        <v>2</v>
      </c>
      <c r="B91" s="11">
        <v>422000</v>
      </c>
      <c r="C91" s="8"/>
      <c r="D91" s="287" t="s">
        <v>144</v>
      </c>
      <c r="E91" s="287"/>
      <c r="F91" s="61">
        <f aca="true" t="shared" si="15" ref="F91:F101">+G91+H91+I91+J91+K91</f>
        <v>600000</v>
      </c>
      <c r="G91" s="21">
        <f>+G92+G97</f>
        <v>0</v>
      </c>
      <c r="H91" s="21">
        <f>+H92+H97</f>
        <v>0</v>
      </c>
      <c r="I91" s="21">
        <f>+I92+I97</f>
        <v>600000</v>
      </c>
      <c r="J91" s="120">
        <f>+J92+J97</f>
        <v>0</v>
      </c>
      <c r="K91" s="17">
        <f>+K92+K97</f>
        <v>0</v>
      </c>
      <c r="N91" s="2">
        <f t="shared" si="14"/>
        <v>500000</v>
      </c>
      <c r="AL91" s="59">
        <f t="shared" si="13"/>
        <v>887024</v>
      </c>
      <c r="AM91" s="21">
        <f>+AM92+AM97</f>
        <v>0</v>
      </c>
      <c r="AN91" s="21">
        <f>+AN92+AN97</f>
        <v>0</v>
      </c>
      <c r="AO91" s="21">
        <f>+AO92</f>
        <v>887024</v>
      </c>
      <c r="AP91" s="120">
        <f>+AP92+AP97</f>
        <v>0</v>
      </c>
      <c r="AQ91" s="17">
        <f>+AQ92+AQ97</f>
        <v>0</v>
      </c>
      <c r="AS91" s="1">
        <f t="shared" si="11"/>
        <v>887024</v>
      </c>
    </row>
    <row r="92" spans="1:45" ht="11.25">
      <c r="A92" s="121"/>
      <c r="B92" s="4"/>
      <c r="C92" s="102" t="s">
        <v>145</v>
      </c>
      <c r="D92" s="11">
        <v>422100</v>
      </c>
      <c r="E92" s="122" t="s">
        <v>146</v>
      </c>
      <c r="F92" s="59">
        <f t="shared" si="15"/>
        <v>0</v>
      </c>
      <c r="G92" s="61"/>
      <c r="H92" s="61"/>
      <c r="I92" s="61">
        <f>+I93+I94+I95</f>
        <v>0</v>
      </c>
      <c r="J92" s="99"/>
      <c r="K92" s="61"/>
      <c r="N92" s="2">
        <f t="shared" si="14"/>
        <v>0</v>
      </c>
      <c r="AL92" s="59">
        <f t="shared" si="13"/>
        <v>887024</v>
      </c>
      <c r="AM92" s="61"/>
      <c r="AN92" s="61"/>
      <c r="AO92" s="61">
        <f>AO93+AO94</f>
        <v>887024</v>
      </c>
      <c r="AP92" s="99"/>
      <c r="AQ92" s="61"/>
      <c r="AS92" s="1">
        <f t="shared" si="11"/>
        <v>887024</v>
      </c>
    </row>
    <row r="93" spans="1:45" ht="11.25">
      <c r="A93" s="123"/>
      <c r="B93" s="307"/>
      <c r="C93" s="103" t="s">
        <v>147</v>
      </c>
      <c r="D93" s="124">
        <v>422111</v>
      </c>
      <c r="E93" s="19" t="s">
        <v>148</v>
      </c>
      <c r="F93" s="59">
        <f t="shared" si="15"/>
        <v>0</v>
      </c>
      <c r="G93" s="59"/>
      <c r="H93" s="59"/>
      <c r="I93" s="59"/>
      <c r="J93" s="86"/>
      <c r="K93" s="59"/>
      <c r="N93" s="2">
        <f t="shared" si="14"/>
        <v>0</v>
      </c>
      <c r="AL93" s="59">
        <f t="shared" si="13"/>
        <v>787024</v>
      </c>
      <c r="AM93" s="59"/>
      <c r="AN93" s="59"/>
      <c r="AO93" s="59">
        <v>787024</v>
      </c>
      <c r="AP93" s="86"/>
      <c r="AQ93" s="59"/>
      <c r="AS93" s="1">
        <f t="shared" si="11"/>
        <v>787024</v>
      </c>
    </row>
    <row r="94" spans="1:45" ht="11.25">
      <c r="A94" s="123"/>
      <c r="B94" s="307"/>
      <c r="C94" s="103" t="s">
        <v>149</v>
      </c>
      <c r="D94" s="124">
        <v>422121</v>
      </c>
      <c r="E94" s="19" t="s">
        <v>150</v>
      </c>
      <c r="F94" s="59">
        <f t="shared" si="15"/>
        <v>0</v>
      </c>
      <c r="G94" s="59"/>
      <c r="H94" s="59"/>
      <c r="I94" s="59"/>
      <c r="J94" s="86"/>
      <c r="K94" s="59"/>
      <c r="N94" s="2">
        <f t="shared" si="14"/>
        <v>0</v>
      </c>
      <c r="AL94" s="59">
        <f t="shared" si="13"/>
        <v>105000</v>
      </c>
      <c r="AM94" s="59"/>
      <c r="AN94" s="59"/>
      <c r="AO94" s="59">
        <v>100000</v>
      </c>
      <c r="AP94" s="86"/>
      <c r="AQ94" s="59">
        <v>5000</v>
      </c>
      <c r="AS94" s="1">
        <f t="shared" si="11"/>
        <v>100000</v>
      </c>
    </row>
    <row r="95" spans="1:45" ht="11.25">
      <c r="A95" s="123"/>
      <c r="B95" s="307"/>
      <c r="C95" s="103" t="s">
        <v>151</v>
      </c>
      <c r="D95" s="124" t="s">
        <v>152</v>
      </c>
      <c r="E95" s="19" t="s">
        <v>153</v>
      </c>
      <c r="F95" s="59">
        <f t="shared" si="15"/>
        <v>0</v>
      </c>
      <c r="G95" s="59"/>
      <c r="H95" s="59"/>
      <c r="I95" s="59"/>
      <c r="J95" s="86"/>
      <c r="K95" s="59"/>
      <c r="N95" s="2">
        <f t="shared" si="14"/>
        <v>0</v>
      </c>
      <c r="AL95" s="59">
        <f t="shared" si="13"/>
        <v>0</v>
      </c>
      <c r="AM95" s="59"/>
      <c r="AN95" s="59"/>
      <c r="AO95" s="59"/>
      <c r="AP95" s="86"/>
      <c r="AQ95" s="59"/>
      <c r="AS95" s="1">
        <f t="shared" si="11"/>
        <v>0</v>
      </c>
    </row>
    <row r="96" spans="1:45" ht="11.25">
      <c r="A96" s="123"/>
      <c r="B96" s="307"/>
      <c r="C96" s="102" t="s">
        <v>154</v>
      </c>
      <c r="D96" s="125">
        <v>422200</v>
      </c>
      <c r="E96" s="122" t="s">
        <v>155</v>
      </c>
      <c r="F96" s="59">
        <f t="shared" si="15"/>
        <v>0</v>
      </c>
      <c r="G96" s="59"/>
      <c r="H96" s="59"/>
      <c r="I96" s="59"/>
      <c r="J96" s="86"/>
      <c r="K96" s="59"/>
      <c r="N96" s="2">
        <f t="shared" si="14"/>
        <v>0</v>
      </c>
      <c r="AL96" s="59">
        <f t="shared" si="13"/>
        <v>0</v>
      </c>
      <c r="AM96" s="59"/>
      <c r="AN96" s="59"/>
      <c r="AO96" s="59"/>
      <c r="AP96" s="86"/>
      <c r="AQ96" s="59"/>
      <c r="AS96" s="1">
        <f t="shared" si="11"/>
        <v>0</v>
      </c>
    </row>
    <row r="97" spans="1:45" ht="11.25">
      <c r="A97" s="123"/>
      <c r="B97" s="4"/>
      <c r="C97" s="102" t="s">
        <v>156</v>
      </c>
      <c r="D97" s="11">
        <v>422300</v>
      </c>
      <c r="E97" s="122" t="s">
        <v>157</v>
      </c>
      <c r="F97" s="59">
        <f t="shared" si="15"/>
        <v>600000</v>
      </c>
      <c r="G97" s="61"/>
      <c r="H97" s="61"/>
      <c r="I97" s="61">
        <f>+I98+I99</f>
        <v>600000</v>
      </c>
      <c r="J97" s="99"/>
      <c r="K97" s="61"/>
      <c r="N97" s="2">
        <f t="shared" si="14"/>
        <v>500000</v>
      </c>
      <c r="AL97" s="59">
        <f t="shared" si="13"/>
        <v>0</v>
      </c>
      <c r="AM97" s="61"/>
      <c r="AN97" s="61"/>
      <c r="AO97" s="61">
        <f>+AO98+AO99</f>
        <v>0</v>
      </c>
      <c r="AP97" s="99"/>
      <c r="AQ97" s="61"/>
      <c r="AS97" s="1">
        <f t="shared" si="11"/>
        <v>0</v>
      </c>
    </row>
    <row r="98" spans="1:45" ht="11.25">
      <c r="A98" s="123"/>
      <c r="B98" s="4"/>
      <c r="C98" s="103" t="s">
        <v>158</v>
      </c>
      <c r="D98" s="8">
        <v>422311</v>
      </c>
      <c r="E98" s="19" t="s">
        <v>159</v>
      </c>
      <c r="F98" s="59">
        <f t="shared" si="15"/>
        <v>550000</v>
      </c>
      <c r="G98" s="59"/>
      <c r="H98" s="59"/>
      <c r="I98" s="59">
        <v>550000</v>
      </c>
      <c r="J98" s="86"/>
      <c r="K98" s="59"/>
      <c r="N98" s="2">
        <f t="shared" si="14"/>
        <v>458333.3333333334</v>
      </c>
      <c r="AL98" s="59">
        <f t="shared" si="13"/>
        <v>0</v>
      </c>
      <c r="AM98" s="59"/>
      <c r="AN98" s="59"/>
      <c r="AO98" s="59"/>
      <c r="AP98" s="86"/>
      <c r="AQ98" s="59"/>
      <c r="AS98" s="1">
        <f t="shared" si="11"/>
        <v>0</v>
      </c>
    </row>
    <row r="99" spans="1:45" s="130" customFormat="1" ht="22.5">
      <c r="A99" s="126"/>
      <c r="B99" s="127"/>
      <c r="C99" s="103" t="s">
        <v>160</v>
      </c>
      <c r="D99" s="128">
        <v>422321</v>
      </c>
      <c r="E99" s="129" t="s">
        <v>161</v>
      </c>
      <c r="F99" s="113">
        <f t="shared" si="15"/>
        <v>50000</v>
      </c>
      <c r="G99" s="113"/>
      <c r="H99" s="113"/>
      <c r="I99" s="113">
        <v>50000</v>
      </c>
      <c r="J99" s="115"/>
      <c r="K99" s="113"/>
      <c r="N99" s="2">
        <f t="shared" si="14"/>
        <v>41666.66666666667</v>
      </c>
      <c r="AL99" s="113">
        <f t="shared" si="13"/>
        <v>0</v>
      </c>
      <c r="AM99" s="113"/>
      <c r="AN99" s="113"/>
      <c r="AO99" s="113"/>
      <c r="AP99" s="115"/>
      <c r="AQ99" s="113"/>
      <c r="AS99" s="1">
        <f t="shared" si="11"/>
        <v>0</v>
      </c>
    </row>
    <row r="100" spans="1:45" ht="16.5" customHeight="1">
      <c r="A100" s="87">
        <v>3</v>
      </c>
      <c r="B100" s="11">
        <v>423000</v>
      </c>
      <c r="C100" s="8"/>
      <c r="D100" s="287" t="s">
        <v>162</v>
      </c>
      <c r="E100" s="287"/>
      <c r="F100" s="61">
        <f t="shared" si="15"/>
        <v>8277000</v>
      </c>
      <c r="G100" s="21"/>
      <c r="H100" s="131">
        <f>+H101+H103+H107+H111+H115+H116+H117</f>
        <v>6012000</v>
      </c>
      <c r="I100" s="132">
        <f>+I101+I103+I107+I111+I115+I116+I117</f>
        <v>1330000</v>
      </c>
      <c r="J100" s="132">
        <f>+J101+J103+J107+J111+J115+J116+J117</f>
        <v>0</v>
      </c>
      <c r="K100" s="132">
        <f>+K101+K103+K107+K111+K115+K116+K117</f>
        <v>935000</v>
      </c>
      <c r="N100" s="2">
        <f t="shared" si="14"/>
        <v>1108333.3333333335</v>
      </c>
      <c r="AL100" s="61">
        <f t="shared" si="13"/>
        <v>2710000</v>
      </c>
      <c r="AM100" s="21">
        <f>+AM101+AM103+AM107+AM111+AM115+AM116+AM117</f>
        <v>0</v>
      </c>
      <c r="AN100" s="21">
        <f>+AN101+AN103+AN107+AN111+AN115+AN116+AN117</f>
        <v>0</v>
      </c>
      <c r="AO100" s="132">
        <f>+AO101+AO103+AO107+AO111+AO115+AO116+AO117</f>
        <v>1698000</v>
      </c>
      <c r="AP100" s="133">
        <f>+AP101+AP103+AP107+AP111+AP115+AP116+AP117</f>
        <v>0</v>
      </c>
      <c r="AQ100" s="132">
        <f>+AQ101+AQ103+AQ107+AQ111+AQ115+AQ116+AQ117+AQ114</f>
        <v>1012000</v>
      </c>
      <c r="AS100" s="1">
        <f t="shared" si="11"/>
        <v>1698000</v>
      </c>
    </row>
    <row r="101" spans="1:45" ht="15.75" customHeight="1">
      <c r="A101" s="121"/>
      <c r="B101" s="93"/>
      <c r="C101" s="102" t="s">
        <v>163</v>
      </c>
      <c r="D101" s="11">
        <v>423100</v>
      </c>
      <c r="E101" s="122" t="s">
        <v>164</v>
      </c>
      <c r="F101" s="61">
        <f t="shared" si="15"/>
        <v>100000</v>
      </c>
      <c r="G101" s="61"/>
      <c r="H101" s="61"/>
      <c r="I101" s="61"/>
      <c r="J101" s="99"/>
      <c r="K101" s="61">
        <f>K102</f>
        <v>100000</v>
      </c>
      <c r="N101" s="2">
        <f t="shared" si="14"/>
        <v>0</v>
      </c>
      <c r="AL101" s="61">
        <f t="shared" si="13"/>
        <v>35000</v>
      </c>
      <c r="AM101" s="61"/>
      <c r="AN101" s="61"/>
      <c r="AO101" s="61">
        <v>0</v>
      </c>
      <c r="AP101" s="99"/>
      <c r="AQ101" s="61">
        <v>35000</v>
      </c>
      <c r="AS101" s="1">
        <f t="shared" si="11"/>
        <v>0</v>
      </c>
    </row>
    <row r="102" spans="1:45" ht="15.75" customHeight="1">
      <c r="A102" s="121"/>
      <c r="B102" s="93"/>
      <c r="C102" s="102" t="s">
        <v>165</v>
      </c>
      <c r="D102" s="11">
        <v>423191</v>
      </c>
      <c r="E102" s="19" t="s">
        <v>166</v>
      </c>
      <c r="F102" s="59">
        <f>G102+H102+I102+J102+K102</f>
        <v>100000</v>
      </c>
      <c r="G102" s="61"/>
      <c r="H102" s="61"/>
      <c r="I102" s="61">
        <v>0</v>
      </c>
      <c r="J102" s="99"/>
      <c r="K102" s="59">
        <v>100000</v>
      </c>
      <c r="AL102" s="59">
        <f>AM102+AN102+AO102+AP102+AQ102</f>
        <v>0</v>
      </c>
      <c r="AM102" s="61"/>
      <c r="AN102" s="61"/>
      <c r="AO102" s="61"/>
      <c r="AP102" s="99"/>
      <c r="AQ102" s="61">
        <v>0</v>
      </c>
      <c r="AS102" s="1">
        <f t="shared" si="11"/>
        <v>0</v>
      </c>
    </row>
    <row r="103" spans="1:45" ht="15.75" customHeight="1">
      <c r="A103" s="123"/>
      <c r="B103" s="93"/>
      <c r="C103" s="102" t="s">
        <v>167</v>
      </c>
      <c r="D103" s="11">
        <v>423200</v>
      </c>
      <c r="E103" s="122" t="s">
        <v>168</v>
      </c>
      <c r="F103" s="61">
        <f>+G103+H103+I103+J103+K103</f>
        <v>1070000</v>
      </c>
      <c r="G103" s="61"/>
      <c r="H103" s="61">
        <f>H104+H105+H106</f>
        <v>0</v>
      </c>
      <c r="I103" s="61">
        <f>+I104+I105+I106</f>
        <v>1070000</v>
      </c>
      <c r="J103" s="61">
        <f>+J104+J105</f>
        <v>0</v>
      </c>
      <c r="K103" s="61">
        <f>+K104+K105</f>
        <v>0</v>
      </c>
      <c r="N103" s="2">
        <f>+I103/1.2</f>
        <v>891666.6666666667</v>
      </c>
      <c r="AL103" s="59">
        <f>+AM103+AN103+AO103+AP103+AQ103</f>
        <v>567000</v>
      </c>
      <c r="AM103" s="61"/>
      <c r="AN103" s="61"/>
      <c r="AO103" s="61">
        <f>+AO104+AO105+AO106</f>
        <v>500000</v>
      </c>
      <c r="AP103" s="61">
        <f>+AP104+AP105</f>
        <v>0</v>
      </c>
      <c r="AQ103" s="61">
        <f>+AQ104+AQ105</f>
        <v>67000</v>
      </c>
      <c r="AS103" s="1">
        <f t="shared" si="11"/>
        <v>500000</v>
      </c>
    </row>
    <row r="104" spans="1:45" ht="15.75" customHeight="1">
      <c r="A104" s="123"/>
      <c r="B104" s="305"/>
      <c r="C104" s="103" t="s">
        <v>169</v>
      </c>
      <c r="D104" s="8">
        <v>423212</v>
      </c>
      <c r="E104" s="19" t="s">
        <v>170</v>
      </c>
      <c r="F104" s="59">
        <f>G104+H104+I104+J104+K104</f>
        <v>650000</v>
      </c>
      <c r="G104" s="59"/>
      <c r="H104" s="59"/>
      <c r="I104" s="59">
        <v>650000</v>
      </c>
      <c r="J104" s="86"/>
      <c r="K104" s="59"/>
      <c r="N104" s="2">
        <f>+I104/1.2</f>
        <v>541666.6666666667</v>
      </c>
      <c r="AL104" s="59">
        <f>+AM104+AN104+AO104+AP104+AQ104</f>
        <v>67000</v>
      </c>
      <c r="AM104" s="59"/>
      <c r="AN104" s="59"/>
      <c r="AO104" s="59"/>
      <c r="AP104" s="86"/>
      <c r="AQ104" s="59">
        <v>67000</v>
      </c>
      <c r="AS104" s="1">
        <f aca="true" t="shared" si="16" ref="AS104:AS136">AL104-AN104-AQ104</f>
        <v>0</v>
      </c>
    </row>
    <row r="105" spans="1:45" ht="14.25" customHeight="1">
      <c r="A105" s="123"/>
      <c r="B105" s="305"/>
      <c r="C105" s="103" t="s">
        <v>171</v>
      </c>
      <c r="D105" s="8">
        <v>423221</v>
      </c>
      <c r="E105" s="19" t="s">
        <v>172</v>
      </c>
      <c r="F105" s="59">
        <f>+G105+H105+I105+J105+K105</f>
        <v>0</v>
      </c>
      <c r="G105" s="59"/>
      <c r="H105" s="59"/>
      <c r="I105" s="59"/>
      <c r="J105" s="86"/>
      <c r="K105" s="59"/>
      <c r="N105" s="2">
        <f>+I105/1.2</f>
        <v>0</v>
      </c>
      <c r="AL105" s="59">
        <f>+AM105+AN105+AO105+AP105+AQ105</f>
        <v>400000</v>
      </c>
      <c r="AM105" s="59"/>
      <c r="AN105" s="59"/>
      <c r="AO105" s="59">
        <v>400000</v>
      </c>
      <c r="AP105" s="86"/>
      <c r="AQ105" s="59"/>
      <c r="AS105" s="1">
        <f t="shared" si="16"/>
        <v>400000</v>
      </c>
    </row>
    <row r="106" spans="1:45" ht="14.25" customHeight="1">
      <c r="A106" s="123"/>
      <c r="B106" s="102"/>
      <c r="C106" s="103" t="s">
        <v>173</v>
      </c>
      <c r="D106" s="8">
        <v>4232211</v>
      </c>
      <c r="E106" s="19" t="s">
        <v>174</v>
      </c>
      <c r="F106" s="59">
        <f>G106+H106+I106+J106+K106</f>
        <v>420000</v>
      </c>
      <c r="G106" s="59"/>
      <c r="H106" s="59"/>
      <c r="I106" s="59">
        <v>420000</v>
      </c>
      <c r="J106" s="86"/>
      <c r="K106" s="59"/>
      <c r="AL106" s="59">
        <f>AM106+AN106+AO106+AP106+AQ106</f>
        <v>100000</v>
      </c>
      <c r="AM106" s="59"/>
      <c r="AN106" s="59"/>
      <c r="AO106" s="59">
        <v>100000</v>
      </c>
      <c r="AP106" s="86"/>
      <c r="AQ106" s="59"/>
      <c r="AS106" s="1">
        <f t="shared" si="16"/>
        <v>100000</v>
      </c>
    </row>
    <row r="107" spans="1:45" ht="15" customHeight="1">
      <c r="A107" s="123"/>
      <c r="B107" s="4"/>
      <c r="C107" s="102" t="s">
        <v>175</v>
      </c>
      <c r="D107" s="11">
        <v>423300</v>
      </c>
      <c r="E107" s="122" t="s">
        <v>176</v>
      </c>
      <c r="F107" s="61">
        <f aca="true" t="shared" si="17" ref="F107:F112">+G107+H107+I107+J107+K107</f>
        <v>490000</v>
      </c>
      <c r="G107" s="61"/>
      <c r="H107" s="61"/>
      <c r="I107" s="61">
        <f>I108+I109+I110</f>
        <v>220000</v>
      </c>
      <c r="J107" s="61">
        <f>+J108+J109</f>
        <v>0</v>
      </c>
      <c r="K107" s="61">
        <f>K108+K109+K110</f>
        <v>270000</v>
      </c>
      <c r="N107" s="2">
        <f>+I107/1.2</f>
        <v>183333.33333333334</v>
      </c>
      <c r="AL107" s="59">
        <f>+AM107+AN107+AO107+AP107+AQ107</f>
        <v>420000</v>
      </c>
      <c r="AM107" s="61"/>
      <c r="AN107" s="61"/>
      <c r="AO107" s="61">
        <f>+AO108+AO109+AO110</f>
        <v>100000</v>
      </c>
      <c r="AP107" s="61">
        <f>+AP108+AP109</f>
        <v>0</v>
      </c>
      <c r="AQ107" s="61">
        <f>+AQ108+AQ109+AQ110</f>
        <v>320000</v>
      </c>
      <c r="AS107" s="1">
        <f t="shared" si="16"/>
        <v>100000</v>
      </c>
    </row>
    <row r="108" spans="1:45" ht="11.25">
      <c r="A108" s="123"/>
      <c r="B108" s="305"/>
      <c r="C108" s="103" t="s">
        <v>177</v>
      </c>
      <c r="D108" s="8">
        <v>423311</v>
      </c>
      <c r="E108" s="19" t="s">
        <v>178</v>
      </c>
      <c r="F108" s="59">
        <f t="shared" si="17"/>
        <v>370000</v>
      </c>
      <c r="G108" s="59"/>
      <c r="H108" s="59"/>
      <c r="I108" s="59">
        <v>220000</v>
      </c>
      <c r="J108" s="86"/>
      <c r="K108" s="59">
        <v>150000</v>
      </c>
      <c r="N108" s="2">
        <f>+I108/1.2</f>
        <v>183333.33333333334</v>
      </c>
      <c r="AL108" s="59">
        <f>+AM108+AN108+AO108+AP108+AQ108</f>
        <v>340000</v>
      </c>
      <c r="AM108" s="59"/>
      <c r="AN108" s="59"/>
      <c r="AO108" s="59">
        <v>20000</v>
      </c>
      <c r="AP108" s="86"/>
      <c r="AQ108" s="59">
        <v>320000</v>
      </c>
      <c r="AS108" s="1">
        <f t="shared" si="16"/>
        <v>20000</v>
      </c>
    </row>
    <row r="109" spans="1:45" ht="11.25">
      <c r="A109" s="123"/>
      <c r="B109" s="305"/>
      <c r="C109" s="103" t="s">
        <v>179</v>
      </c>
      <c r="D109" s="134">
        <v>423321</v>
      </c>
      <c r="E109" s="19" t="s">
        <v>180</v>
      </c>
      <c r="F109" s="59">
        <f t="shared" si="17"/>
        <v>70000</v>
      </c>
      <c r="G109" s="59"/>
      <c r="H109" s="59"/>
      <c r="I109" s="135"/>
      <c r="J109" s="86"/>
      <c r="K109" s="59">
        <v>70000</v>
      </c>
      <c r="N109" s="2">
        <f>+I109/1.2</f>
        <v>0</v>
      </c>
      <c r="AL109" s="59">
        <f>+AM109+AN109+AO109+AP109+AQ109</f>
        <v>80000</v>
      </c>
      <c r="AM109" s="59"/>
      <c r="AN109" s="59"/>
      <c r="AO109" s="59">
        <v>80000</v>
      </c>
      <c r="AP109" s="86"/>
      <c r="AQ109" s="59"/>
      <c r="AS109" s="1">
        <f t="shared" si="16"/>
        <v>80000</v>
      </c>
    </row>
    <row r="110" spans="1:45" ht="11.25">
      <c r="A110" s="123"/>
      <c r="B110" s="114"/>
      <c r="C110" s="103" t="s">
        <v>181</v>
      </c>
      <c r="D110" s="8">
        <v>423399</v>
      </c>
      <c r="E110" s="19" t="s">
        <v>182</v>
      </c>
      <c r="F110" s="59">
        <f t="shared" si="17"/>
        <v>50000</v>
      </c>
      <c r="G110" s="59"/>
      <c r="H110" s="59"/>
      <c r="I110" s="59"/>
      <c r="J110" s="86"/>
      <c r="K110" s="59">
        <v>50000</v>
      </c>
      <c r="AL110" s="59">
        <f>AM110+AN110+AO110+AP110+AQ110</f>
        <v>0</v>
      </c>
      <c r="AM110" s="59"/>
      <c r="AN110" s="59"/>
      <c r="AO110" s="59"/>
      <c r="AP110" s="86"/>
      <c r="AQ110" s="59">
        <v>0</v>
      </c>
      <c r="AS110" s="1">
        <f t="shared" si="16"/>
        <v>0</v>
      </c>
    </row>
    <row r="111" spans="1:45" ht="15" customHeight="1">
      <c r="A111" s="123"/>
      <c r="B111" s="4"/>
      <c r="C111" s="102" t="s">
        <v>183</v>
      </c>
      <c r="D111" s="11">
        <v>423400</v>
      </c>
      <c r="E111" s="122" t="s">
        <v>184</v>
      </c>
      <c r="F111" s="61">
        <f t="shared" si="17"/>
        <v>55000</v>
      </c>
      <c r="G111" s="61"/>
      <c r="H111" s="61"/>
      <c r="I111" s="61">
        <f>+I112+I113</f>
        <v>10000</v>
      </c>
      <c r="J111" s="61">
        <f>+J112+J113</f>
        <v>0</v>
      </c>
      <c r="K111" s="61">
        <f>+K112+K113+K114</f>
        <v>45000</v>
      </c>
      <c r="N111" s="2">
        <f>+I111/1.2</f>
        <v>8333.333333333334</v>
      </c>
      <c r="AL111" s="59">
        <f aca="true" t="shared" si="18" ref="AL111:AL136">+AM111+AN111+AO111+AP111+AQ111</f>
        <v>73000</v>
      </c>
      <c r="AM111" s="61"/>
      <c r="AN111" s="61"/>
      <c r="AO111" s="61">
        <f>+AO112+AO113</f>
        <v>73000</v>
      </c>
      <c r="AP111" s="61">
        <f>+AP112+AP113</f>
        <v>0</v>
      </c>
      <c r="AQ111" s="61">
        <f>+AQ112+AQ113</f>
        <v>0</v>
      </c>
      <c r="AS111" s="1">
        <f t="shared" si="16"/>
        <v>73000</v>
      </c>
    </row>
    <row r="112" spans="1:45" ht="11.25">
      <c r="A112" s="123"/>
      <c r="B112" s="305"/>
      <c r="C112" s="103" t="s">
        <v>185</v>
      </c>
      <c r="D112" s="8">
        <v>423432</v>
      </c>
      <c r="E112" s="19" t="s">
        <v>186</v>
      </c>
      <c r="F112" s="59">
        <f t="shared" si="17"/>
        <v>10000</v>
      </c>
      <c r="G112" s="59"/>
      <c r="H112" s="59"/>
      <c r="I112" s="59">
        <v>10000</v>
      </c>
      <c r="J112" s="86"/>
      <c r="K112" s="59"/>
      <c r="N112" s="2">
        <f>+I112/1.2</f>
        <v>8333.333333333334</v>
      </c>
      <c r="AL112" s="59">
        <f t="shared" si="18"/>
        <v>73000</v>
      </c>
      <c r="AM112" s="59"/>
      <c r="AN112" s="59"/>
      <c r="AO112" s="59">
        <v>73000</v>
      </c>
      <c r="AP112" s="86"/>
      <c r="AQ112" s="59"/>
      <c r="AS112" s="1">
        <f t="shared" si="16"/>
        <v>73000</v>
      </c>
    </row>
    <row r="113" spans="1:45" ht="11.25">
      <c r="A113" s="123"/>
      <c r="B113" s="305"/>
      <c r="C113" s="103" t="s">
        <v>187</v>
      </c>
      <c r="D113" s="134" t="s">
        <v>188</v>
      </c>
      <c r="E113" s="19" t="s">
        <v>189</v>
      </c>
      <c r="F113" s="59">
        <f>G113+H113+I113+J113+K113</f>
        <v>10000</v>
      </c>
      <c r="G113" s="59"/>
      <c r="H113" s="59"/>
      <c r="I113" s="59"/>
      <c r="J113" s="86"/>
      <c r="K113" s="59">
        <v>10000</v>
      </c>
      <c r="N113" s="2">
        <f>+I113/1.2</f>
        <v>0</v>
      </c>
      <c r="AL113" s="59">
        <f t="shared" si="18"/>
        <v>0</v>
      </c>
      <c r="AM113" s="59"/>
      <c r="AN113" s="59"/>
      <c r="AO113" s="59">
        <v>0</v>
      </c>
      <c r="AP113" s="86"/>
      <c r="AQ113" s="59"/>
      <c r="AS113" s="1">
        <f t="shared" si="16"/>
        <v>0</v>
      </c>
    </row>
    <row r="114" spans="1:45" ht="11.25">
      <c r="A114" s="123"/>
      <c r="B114" s="114"/>
      <c r="C114" s="102" t="s">
        <v>190</v>
      </c>
      <c r="D114" s="117">
        <v>423591</v>
      </c>
      <c r="E114" s="19" t="s">
        <v>84</v>
      </c>
      <c r="F114" s="59">
        <f aca="true" t="shared" si="19" ref="F114:F120">+G114+H114+I114+J114+K114</f>
        <v>35000</v>
      </c>
      <c r="G114" s="59"/>
      <c r="H114" s="59"/>
      <c r="I114" s="59"/>
      <c r="J114" s="86"/>
      <c r="K114" s="59">
        <v>35000</v>
      </c>
      <c r="AL114" s="59">
        <f t="shared" si="18"/>
        <v>65000</v>
      </c>
      <c r="AM114" s="59"/>
      <c r="AN114" s="59"/>
      <c r="AO114" s="59"/>
      <c r="AP114" s="86"/>
      <c r="AQ114" s="61">
        <v>65000</v>
      </c>
      <c r="AS114" s="1">
        <f t="shared" si="16"/>
        <v>0</v>
      </c>
    </row>
    <row r="115" spans="1:45" ht="11.25">
      <c r="A115" s="123"/>
      <c r="B115" s="93"/>
      <c r="C115" s="102" t="s">
        <v>191</v>
      </c>
      <c r="D115" s="117">
        <v>423599</v>
      </c>
      <c r="E115" s="122" t="s">
        <v>192</v>
      </c>
      <c r="F115" s="61">
        <f t="shared" si="19"/>
        <v>6412000</v>
      </c>
      <c r="G115" s="61"/>
      <c r="H115" s="59">
        <v>6012000</v>
      </c>
      <c r="I115" s="61"/>
      <c r="J115" s="99"/>
      <c r="K115" s="59">
        <v>400000</v>
      </c>
      <c r="N115" s="2">
        <f>+I115/1.2</f>
        <v>0</v>
      </c>
      <c r="AL115" s="59">
        <f t="shared" si="18"/>
        <v>1145000</v>
      </c>
      <c r="AM115" s="61"/>
      <c r="AN115" s="61"/>
      <c r="AO115" s="61">
        <v>720000</v>
      </c>
      <c r="AP115" s="99"/>
      <c r="AQ115" s="61">
        <v>425000</v>
      </c>
      <c r="AS115" s="1">
        <f t="shared" si="16"/>
        <v>720000</v>
      </c>
    </row>
    <row r="116" spans="1:45" ht="11.25">
      <c r="A116" s="123"/>
      <c r="B116" s="93"/>
      <c r="C116" s="102" t="s">
        <v>193</v>
      </c>
      <c r="D116" s="117">
        <v>423711</v>
      </c>
      <c r="E116" s="122" t="s">
        <v>194</v>
      </c>
      <c r="F116" s="61">
        <f t="shared" si="19"/>
        <v>70000</v>
      </c>
      <c r="G116" s="61"/>
      <c r="H116" s="61"/>
      <c r="I116" s="61"/>
      <c r="J116" s="99"/>
      <c r="K116" s="59">
        <v>70000</v>
      </c>
      <c r="N116" s="2">
        <f>+I116/1.2</f>
        <v>0</v>
      </c>
      <c r="AL116" s="59">
        <f t="shared" si="18"/>
        <v>50000</v>
      </c>
      <c r="AM116" s="61"/>
      <c r="AN116" s="61"/>
      <c r="AO116" s="61"/>
      <c r="AP116" s="99"/>
      <c r="AQ116" s="61">
        <v>50000</v>
      </c>
      <c r="AS116" s="1">
        <f t="shared" si="16"/>
        <v>0</v>
      </c>
    </row>
    <row r="117" spans="1:45" ht="11.25">
      <c r="A117" s="136"/>
      <c r="B117" s="93"/>
      <c r="C117" s="102" t="s">
        <v>195</v>
      </c>
      <c r="D117" s="117">
        <v>423911</v>
      </c>
      <c r="E117" s="122" t="s">
        <v>196</v>
      </c>
      <c r="F117" s="61">
        <f t="shared" si="19"/>
        <v>80000</v>
      </c>
      <c r="G117" s="61"/>
      <c r="H117" s="61"/>
      <c r="I117" s="135">
        <v>30000</v>
      </c>
      <c r="J117" s="99"/>
      <c r="K117" s="61">
        <v>50000</v>
      </c>
      <c r="N117" s="2">
        <f>+F117/1.2</f>
        <v>66666.66666666667</v>
      </c>
      <c r="AL117" s="59">
        <f t="shared" si="18"/>
        <v>355000</v>
      </c>
      <c r="AM117" s="61"/>
      <c r="AN117" s="61"/>
      <c r="AO117" s="61">
        <v>305000</v>
      </c>
      <c r="AP117" s="99"/>
      <c r="AQ117" s="61">
        <v>50000</v>
      </c>
      <c r="AS117" s="1">
        <f t="shared" si="16"/>
        <v>305000</v>
      </c>
    </row>
    <row r="118" spans="1:45" ht="16.5" customHeight="1">
      <c r="A118" s="54">
        <v>4</v>
      </c>
      <c r="B118" s="11">
        <v>424000</v>
      </c>
      <c r="C118" s="8"/>
      <c r="D118" s="287" t="s">
        <v>197</v>
      </c>
      <c r="E118" s="287"/>
      <c r="F118" s="61">
        <f t="shared" si="19"/>
        <v>380000</v>
      </c>
      <c r="G118" s="21">
        <f>+G119</f>
        <v>0</v>
      </c>
      <c r="H118" s="21">
        <f>+H119</f>
        <v>0</v>
      </c>
      <c r="I118" s="21">
        <f>+I119</f>
        <v>380000</v>
      </c>
      <c r="J118" s="120">
        <f>+J119</f>
        <v>0</v>
      </c>
      <c r="K118" s="17">
        <f>+K119</f>
        <v>0</v>
      </c>
      <c r="N118" s="2">
        <f>+I118/1.2</f>
        <v>316666.6666666667</v>
      </c>
      <c r="AL118" s="59">
        <f t="shared" si="18"/>
        <v>1319000</v>
      </c>
      <c r="AM118" s="21">
        <f>+AM119</f>
        <v>0</v>
      </c>
      <c r="AN118" s="21">
        <f>+AN119</f>
        <v>0</v>
      </c>
      <c r="AO118" s="21">
        <f>+AO119</f>
        <v>1210000</v>
      </c>
      <c r="AP118" s="120">
        <f>+AP119</f>
        <v>0</v>
      </c>
      <c r="AQ118" s="17">
        <f>+AQ119</f>
        <v>109000</v>
      </c>
      <c r="AS118" s="1">
        <f t="shared" si="16"/>
        <v>1210000</v>
      </c>
    </row>
    <row r="119" spans="1:45" ht="11.25">
      <c r="A119" s="121"/>
      <c r="B119" s="4"/>
      <c r="C119" s="102" t="s">
        <v>198</v>
      </c>
      <c r="D119" s="11">
        <v>424300</v>
      </c>
      <c r="E119" s="122" t="s">
        <v>199</v>
      </c>
      <c r="F119" s="59">
        <f t="shared" si="19"/>
        <v>380000</v>
      </c>
      <c r="G119" s="61">
        <f>+G120</f>
        <v>0</v>
      </c>
      <c r="H119" s="61">
        <f>H120+H121</f>
        <v>0</v>
      </c>
      <c r="I119" s="61">
        <f>+I120+I121</f>
        <v>380000</v>
      </c>
      <c r="J119" s="61">
        <f>+J120</f>
        <v>0</v>
      </c>
      <c r="K119" s="61">
        <f>K120+K121</f>
        <v>0</v>
      </c>
      <c r="N119" s="2">
        <f>+I119/1.2</f>
        <v>316666.6666666667</v>
      </c>
      <c r="AL119" s="59">
        <f t="shared" si="18"/>
        <v>1319000</v>
      </c>
      <c r="AM119" s="61">
        <f>+AM120</f>
        <v>0</v>
      </c>
      <c r="AN119" s="61">
        <f>+AN120</f>
        <v>0</v>
      </c>
      <c r="AO119" s="61">
        <f>+AO120+AO121</f>
        <v>1210000</v>
      </c>
      <c r="AP119" s="61">
        <f>+AP120</f>
        <v>0</v>
      </c>
      <c r="AQ119" s="61">
        <f>+AQ120+AQ121</f>
        <v>109000</v>
      </c>
      <c r="AS119" s="1">
        <f t="shared" si="16"/>
        <v>1210000</v>
      </c>
    </row>
    <row r="120" spans="1:45" ht="11.25">
      <c r="A120" s="136"/>
      <c r="B120" s="114"/>
      <c r="C120" s="103" t="s">
        <v>200</v>
      </c>
      <c r="D120" s="8">
        <v>424331</v>
      </c>
      <c r="E120" s="19" t="s">
        <v>201</v>
      </c>
      <c r="F120" s="59">
        <f t="shared" si="19"/>
        <v>330000</v>
      </c>
      <c r="G120" s="59"/>
      <c r="H120" s="59"/>
      <c r="I120" s="59">
        <v>330000</v>
      </c>
      <c r="J120" s="86"/>
      <c r="K120" s="59"/>
      <c r="N120" s="2">
        <f>+I120/1.2</f>
        <v>275000</v>
      </c>
      <c r="AL120" s="59">
        <f t="shared" si="18"/>
        <v>289000</v>
      </c>
      <c r="AM120" s="59"/>
      <c r="AN120" s="59"/>
      <c r="AO120" s="59">
        <v>220000</v>
      </c>
      <c r="AP120" s="86"/>
      <c r="AQ120" s="59">
        <v>69000</v>
      </c>
      <c r="AS120" s="1">
        <f t="shared" si="16"/>
        <v>220000</v>
      </c>
    </row>
    <row r="121" spans="1:45" ht="11.25">
      <c r="A121" s="136"/>
      <c r="B121" s="114"/>
      <c r="C121" s="103" t="s">
        <v>202</v>
      </c>
      <c r="D121" s="8">
        <v>424311</v>
      </c>
      <c r="E121" s="19" t="s">
        <v>203</v>
      </c>
      <c r="F121" s="59">
        <f>G121+H121+I121+J121+K121</f>
        <v>50000</v>
      </c>
      <c r="G121" s="59"/>
      <c r="H121" s="59"/>
      <c r="I121" s="59">
        <v>50000</v>
      </c>
      <c r="J121" s="86"/>
      <c r="K121" s="59"/>
      <c r="AL121" s="59">
        <f t="shared" si="18"/>
        <v>1030000</v>
      </c>
      <c r="AM121" s="59"/>
      <c r="AN121" s="59"/>
      <c r="AO121" s="59">
        <v>990000</v>
      </c>
      <c r="AP121" s="86"/>
      <c r="AQ121" s="59">
        <v>40000</v>
      </c>
      <c r="AS121" s="1">
        <f t="shared" si="16"/>
        <v>990000</v>
      </c>
    </row>
    <row r="122" spans="1:45" ht="15.75" customHeight="1">
      <c r="A122" s="69">
        <v>5</v>
      </c>
      <c r="B122" s="11">
        <v>425000</v>
      </c>
      <c r="C122" s="20"/>
      <c r="D122" s="287" t="s">
        <v>204</v>
      </c>
      <c r="E122" s="287"/>
      <c r="F122" s="61">
        <f aca="true" t="shared" si="20" ref="F122:F140">+G122+H122+I122+J122+K122</f>
        <v>8429000</v>
      </c>
      <c r="G122" s="21"/>
      <c r="H122" s="21">
        <f>+H123+H134+H151+H154+H156</f>
        <v>3000000</v>
      </c>
      <c r="I122" s="21">
        <f>+I123+I134</f>
        <v>5149000</v>
      </c>
      <c r="J122" s="120">
        <f>+J123+J134+J151+J154+J156</f>
        <v>0</v>
      </c>
      <c r="K122" s="17">
        <f>+K123+K134+K151+K154+K156</f>
        <v>280000</v>
      </c>
      <c r="N122" s="2">
        <f aca="true" t="shared" si="21" ref="N122:N136">+I122/1.2</f>
        <v>4290833.333333334</v>
      </c>
      <c r="AL122" s="59">
        <f t="shared" si="18"/>
        <v>5007900</v>
      </c>
      <c r="AM122" s="21">
        <f>+AM123+AM134+AM151+AM154+AM156</f>
        <v>0</v>
      </c>
      <c r="AN122" s="21">
        <f>+AN123+AN134+AN151+AN154+AN156</f>
        <v>0</v>
      </c>
      <c r="AO122" s="21">
        <f>+AO123+AO134</f>
        <v>4848100</v>
      </c>
      <c r="AP122" s="120">
        <f>+AP123+AP134+AP151+AP154+AP156</f>
        <v>100000</v>
      </c>
      <c r="AQ122" s="17">
        <f>+AQ123+AQ134+AQ151+AQ154+AQ156</f>
        <v>59800</v>
      </c>
      <c r="AS122" s="1">
        <f t="shared" si="16"/>
        <v>4948100</v>
      </c>
    </row>
    <row r="123" spans="1:45" ht="15.75" customHeight="1">
      <c r="A123" s="121"/>
      <c r="B123" s="137"/>
      <c r="C123" s="102" t="s">
        <v>205</v>
      </c>
      <c r="D123" s="11">
        <v>425100</v>
      </c>
      <c r="E123" s="122" t="s">
        <v>206</v>
      </c>
      <c r="F123" s="61">
        <f t="shared" si="20"/>
        <v>4655000</v>
      </c>
      <c r="G123" s="17"/>
      <c r="H123" s="17">
        <f>+H124+H125+H126+H127+H128+H129+H130+H131+H132+H133</f>
        <v>3000000</v>
      </c>
      <c r="I123" s="138">
        <f>+I124+I125+I126+I127+I128+I129+I130+I132+I133+I131</f>
        <v>1415000</v>
      </c>
      <c r="J123" s="139">
        <f>+J124+J125+J126+J127+J128+J129+J130+J132+J133+J131</f>
        <v>0</v>
      </c>
      <c r="K123" s="140">
        <f>+K124+K125+K126+K127+K128+K129+K130+K132+K133+K131</f>
        <v>240000</v>
      </c>
      <c r="N123" s="2">
        <f t="shared" si="21"/>
        <v>1179166.6666666667</v>
      </c>
      <c r="AL123" s="59">
        <f t="shared" si="18"/>
        <v>1511800</v>
      </c>
      <c r="AM123" s="17">
        <f>+AM124+AM125+AM126+AM127+AM128+AM129+AM130+AM131+AM132+AM133</f>
        <v>0</v>
      </c>
      <c r="AN123" s="17">
        <f>+AN124+AN125+AN126+AN127+AN128+AN129+AN130+AN131+AN132+AN133</f>
        <v>0</v>
      </c>
      <c r="AO123" s="140">
        <f>+AO124+AO125+AO126+AO127+AO128+AO129+AO130+AO132+AO133+AO131</f>
        <v>1407000</v>
      </c>
      <c r="AP123" s="141">
        <f>+AP124+AP125+AP126+AP127+AP128+AP129+AP130+AP132+AP133+AP131</f>
        <v>100000</v>
      </c>
      <c r="AQ123" s="140">
        <f>+AQ124+AQ125+AQ126+AQ127+AQ128+AQ129+AQ130+AQ132+AQ133+AQ131</f>
        <v>4800</v>
      </c>
      <c r="AS123" s="1">
        <f t="shared" si="16"/>
        <v>1507000</v>
      </c>
    </row>
    <row r="124" spans="1:45" ht="11.25">
      <c r="A124" s="123"/>
      <c r="B124" s="308"/>
      <c r="C124" s="103" t="s">
        <v>207</v>
      </c>
      <c r="D124" s="8">
        <v>425111</v>
      </c>
      <c r="E124" s="19" t="s">
        <v>208</v>
      </c>
      <c r="F124" s="59">
        <f t="shared" si="20"/>
        <v>50000</v>
      </c>
      <c r="G124" s="59"/>
      <c r="H124" s="59"/>
      <c r="I124" s="59">
        <v>50000</v>
      </c>
      <c r="J124" s="86"/>
      <c r="K124" s="59"/>
      <c r="N124" s="2">
        <f t="shared" si="21"/>
        <v>41666.66666666667</v>
      </c>
      <c r="AL124" s="59">
        <f t="shared" si="18"/>
        <v>85000</v>
      </c>
      <c r="AM124" s="59"/>
      <c r="AN124" s="59"/>
      <c r="AO124" s="59">
        <v>85000</v>
      </c>
      <c r="AP124" s="86"/>
      <c r="AQ124" s="59"/>
      <c r="AS124" s="1">
        <f t="shared" si="16"/>
        <v>85000</v>
      </c>
    </row>
    <row r="125" spans="1:45" ht="11.25">
      <c r="A125" s="123"/>
      <c r="B125" s="308"/>
      <c r="C125" s="103" t="s">
        <v>209</v>
      </c>
      <c r="D125" s="8">
        <v>425112</v>
      </c>
      <c r="E125" s="19" t="s">
        <v>210</v>
      </c>
      <c r="F125" s="59">
        <f t="shared" si="20"/>
        <v>100000</v>
      </c>
      <c r="G125" s="59"/>
      <c r="H125" s="59"/>
      <c r="I125" s="59">
        <v>100000</v>
      </c>
      <c r="J125" s="86"/>
      <c r="K125" s="59"/>
      <c r="N125" s="2">
        <f t="shared" si="21"/>
        <v>83333.33333333334</v>
      </c>
      <c r="AL125" s="59">
        <f t="shared" si="18"/>
        <v>75000</v>
      </c>
      <c r="AM125" s="59"/>
      <c r="AN125" s="59"/>
      <c r="AO125" s="59">
        <v>75000</v>
      </c>
      <c r="AP125" s="86"/>
      <c r="AQ125" s="59"/>
      <c r="AS125" s="1">
        <f t="shared" si="16"/>
        <v>75000</v>
      </c>
    </row>
    <row r="126" spans="1:45" ht="11.25">
      <c r="A126" s="123"/>
      <c r="B126" s="308"/>
      <c r="C126" s="103" t="s">
        <v>211</v>
      </c>
      <c r="D126" s="8">
        <v>425113</v>
      </c>
      <c r="E126" s="19" t="s">
        <v>212</v>
      </c>
      <c r="F126" s="59">
        <f t="shared" si="20"/>
        <v>430000</v>
      </c>
      <c r="G126" s="59"/>
      <c r="H126" s="59"/>
      <c r="I126" s="59">
        <v>430000</v>
      </c>
      <c r="J126" s="86"/>
      <c r="K126" s="59"/>
      <c r="N126" s="2">
        <f t="shared" si="21"/>
        <v>358333.3333333334</v>
      </c>
      <c r="AL126" s="59">
        <f t="shared" si="18"/>
        <v>80000</v>
      </c>
      <c r="AM126" s="59"/>
      <c r="AN126" s="59"/>
      <c r="AO126" s="59">
        <v>80000</v>
      </c>
      <c r="AP126" s="86"/>
      <c r="AQ126" s="59"/>
      <c r="AS126" s="1">
        <f t="shared" si="16"/>
        <v>80000</v>
      </c>
    </row>
    <row r="127" spans="1:45" ht="11.25">
      <c r="A127" s="123"/>
      <c r="B127" s="308"/>
      <c r="C127" s="103" t="s">
        <v>213</v>
      </c>
      <c r="D127" s="8">
        <v>425114</v>
      </c>
      <c r="E127" s="19" t="s">
        <v>214</v>
      </c>
      <c r="F127" s="59">
        <f t="shared" si="20"/>
        <v>100000</v>
      </c>
      <c r="G127" s="59"/>
      <c r="H127" s="59"/>
      <c r="I127" s="59">
        <v>80000</v>
      </c>
      <c r="J127" s="86"/>
      <c r="K127" s="59">
        <v>20000</v>
      </c>
      <c r="N127" s="2">
        <f t="shared" si="21"/>
        <v>66666.66666666667</v>
      </c>
      <c r="AL127" s="59">
        <f t="shared" si="18"/>
        <v>715000</v>
      </c>
      <c r="AM127" s="59"/>
      <c r="AN127" s="59"/>
      <c r="AO127" s="59">
        <v>615000</v>
      </c>
      <c r="AP127" s="86">
        <v>100000</v>
      </c>
      <c r="AQ127" s="59"/>
      <c r="AS127" s="1">
        <f t="shared" si="16"/>
        <v>715000</v>
      </c>
    </row>
    <row r="128" spans="1:45" ht="11.25">
      <c r="A128" s="123"/>
      <c r="B128" s="308"/>
      <c r="C128" s="103" t="s">
        <v>215</v>
      </c>
      <c r="D128" s="8">
        <v>425115</v>
      </c>
      <c r="E128" s="19" t="s">
        <v>216</v>
      </c>
      <c r="F128" s="59">
        <f t="shared" si="20"/>
        <v>220000</v>
      </c>
      <c r="G128" s="59"/>
      <c r="H128" s="59"/>
      <c r="I128" s="59">
        <v>120000</v>
      </c>
      <c r="J128" s="86"/>
      <c r="K128" s="59">
        <v>100000</v>
      </c>
      <c r="N128" s="2">
        <f t="shared" si="21"/>
        <v>100000</v>
      </c>
      <c r="AL128" s="59">
        <f t="shared" si="18"/>
        <v>90000</v>
      </c>
      <c r="AM128" s="59"/>
      <c r="AN128" s="59"/>
      <c r="AO128" s="59">
        <v>90000</v>
      </c>
      <c r="AP128" s="86"/>
      <c r="AQ128" s="59"/>
      <c r="AS128" s="1">
        <f t="shared" si="16"/>
        <v>90000</v>
      </c>
    </row>
    <row r="129" spans="1:45" ht="11.25">
      <c r="A129" s="123"/>
      <c r="B129" s="308"/>
      <c r="C129" s="103" t="s">
        <v>217</v>
      </c>
      <c r="D129" s="8">
        <v>425116</v>
      </c>
      <c r="E129" s="19" t="s">
        <v>218</v>
      </c>
      <c r="F129" s="59">
        <f t="shared" si="20"/>
        <v>100000</v>
      </c>
      <c r="G129" s="59"/>
      <c r="H129" s="59"/>
      <c r="I129" s="59">
        <v>80000</v>
      </c>
      <c r="J129" s="86"/>
      <c r="K129" s="59">
        <v>20000</v>
      </c>
      <c r="N129" s="2">
        <f t="shared" si="21"/>
        <v>66666.66666666667</v>
      </c>
      <c r="AL129" s="59">
        <f t="shared" si="18"/>
        <v>30000</v>
      </c>
      <c r="AM129" s="59"/>
      <c r="AN129" s="59"/>
      <c r="AO129" s="59">
        <v>30000</v>
      </c>
      <c r="AP129" s="86"/>
      <c r="AQ129" s="59"/>
      <c r="AS129" s="1">
        <f t="shared" si="16"/>
        <v>30000</v>
      </c>
    </row>
    <row r="130" spans="1:45" s="142" customFormat="1" ht="11.25">
      <c r="A130" s="123"/>
      <c r="B130" s="308"/>
      <c r="C130" s="103" t="s">
        <v>219</v>
      </c>
      <c r="D130" s="8">
        <v>425117</v>
      </c>
      <c r="E130" s="19" t="s">
        <v>220</v>
      </c>
      <c r="F130" s="59">
        <f t="shared" si="20"/>
        <v>200000</v>
      </c>
      <c r="G130" s="59"/>
      <c r="H130" s="59"/>
      <c r="I130" s="59">
        <v>150000</v>
      </c>
      <c r="J130" s="86"/>
      <c r="K130" s="59">
        <v>50000</v>
      </c>
      <c r="N130" s="2">
        <f t="shared" si="21"/>
        <v>125000</v>
      </c>
      <c r="AL130" s="59">
        <f t="shared" si="18"/>
        <v>84800</v>
      </c>
      <c r="AM130" s="59"/>
      <c r="AN130" s="59"/>
      <c r="AO130" s="59">
        <v>80000</v>
      </c>
      <c r="AP130" s="86"/>
      <c r="AQ130" s="59">
        <v>4800</v>
      </c>
      <c r="AS130" s="1">
        <f t="shared" si="16"/>
        <v>80000</v>
      </c>
    </row>
    <row r="131" spans="1:45" s="142" customFormat="1" ht="11.25">
      <c r="A131" s="123"/>
      <c r="B131" s="308"/>
      <c r="C131" s="103" t="s">
        <v>221</v>
      </c>
      <c r="D131" s="8">
        <v>425118</v>
      </c>
      <c r="E131" s="19" t="s">
        <v>222</v>
      </c>
      <c r="F131" s="59">
        <f t="shared" si="20"/>
        <v>5000</v>
      </c>
      <c r="G131" s="59"/>
      <c r="H131" s="59"/>
      <c r="I131" s="59">
        <v>5000</v>
      </c>
      <c r="J131" s="86"/>
      <c r="K131" s="59"/>
      <c r="N131" s="2">
        <f t="shared" si="21"/>
        <v>4166.666666666667</v>
      </c>
      <c r="AL131" s="59">
        <f t="shared" si="18"/>
        <v>12000</v>
      </c>
      <c r="AM131" s="59"/>
      <c r="AN131" s="59"/>
      <c r="AO131" s="59">
        <v>12000</v>
      </c>
      <c r="AP131" s="86"/>
      <c r="AQ131" s="59"/>
      <c r="AS131" s="1">
        <f t="shared" si="16"/>
        <v>12000</v>
      </c>
    </row>
    <row r="132" spans="1:45" s="142" customFormat="1" ht="17.25" customHeight="1">
      <c r="A132" s="123"/>
      <c r="B132" s="308"/>
      <c r="C132" s="103" t="s">
        <v>223</v>
      </c>
      <c r="D132" s="8">
        <v>425119</v>
      </c>
      <c r="E132" s="19" t="s">
        <v>224</v>
      </c>
      <c r="F132" s="59">
        <f t="shared" si="20"/>
        <v>3250000</v>
      </c>
      <c r="G132" s="59"/>
      <c r="H132" s="59">
        <v>3000000</v>
      </c>
      <c r="I132" s="59">
        <v>200000</v>
      </c>
      <c r="J132" s="86"/>
      <c r="K132" s="59">
        <v>50000</v>
      </c>
      <c r="N132" s="2">
        <f t="shared" si="21"/>
        <v>166666.6666666667</v>
      </c>
      <c r="AL132" s="59">
        <f t="shared" si="18"/>
        <v>40000</v>
      </c>
      <c r="AM132" s="59"/>
      <c r="AN132" s="59"/>
      <c r="AO132" s="59">
        <v>40000</v>
      </c>
      <c r="AP132" s="86"/>
      <c r="AQ132" s="59"/>
      <c r="AS132" s="1">
        <f t="shared" si="16"/>
        <v>40000</v>
      </c>
    </row>
    <row r="133" spans="1:45" s="142" customFormat="1" ht="11.25">
      <c r="A133" s="123"/>
      <c r="B133" s="308"/>
      <c r="C133" s="103" t="s">
        <v>225</v>
      </c>
      <c r="D133" s="8">
        <v>425191</v>
      </c>
      <c r="E133" s="19" t="s">
        <v>226</v>
      </c>
      <c r="F133" s="59">
        <f t="shared" si="20"/>
        <v>200000</v>
      </c>
      <c r="G133" s="59"/>
      <c r="H133" s="59"/>
      <c r="I133" s="59">
        <v>200000</v>
      </c>
      <c r="J133" s="86"/>
      <c r="K133" s="59"/>
      <c r="N133" s="2">
        <f t="shared" si="21"/>
        <v>166666.6666666667</v>
      </c>
      <c r="AL133" s="59">
        <f t="shared" si="18"/>
        <v>300000</v>
      </c>
      <c r="AM133" s="59"/>
      <c r="AN133" s="59"/>
      <c r="AO133" s="59">
        <v>300000</v>
      </c>
      <c r="AP133" s="86"/>
      <c r="AQ133" s="59">
        <v>0</v>
      </c>
      <c r="AS133" s="1">
        <f t="shared" si="16"/>
        <v>300000</v>
      </c>
    </row>
    <row r="134" spans="1:45" s="142" customFormat="1" ht="18" customHeight="1">
      <c r="A134" s="123"/>
      <c r="B134" s="143"/>
      <c r="C134" s="102" t="s">
        <v>227</v>
      </c>
      <c r="D134" s="11">
        <v>425200</v>
      </c>
      <c r="E134" s="122" t="s">
        <v>228</v>
      </c>
      <c r="F134" s="61">
        <f t="shared" si="20"/>
        <v>3774000</v>
      </c>
      <c r="G134" s="17">
        <f>+G135+G142+G151+G154+G156</f>
        <v>0</v>
      </c>
      <c r="H134" s="17">
        <f>+H135+H142+H151+H154+H156</f>
        <v>0</v>
      </c>
      <c r="I134" s="144">
        <f>I135+I142+I151+I152+I154+I155+I156+I153</f>
        <v>3734000</v>
      </c>
      <c r="J134" s="145">
        <f>+J135+J142+J151+J154+J156</f>
        <v>0</v>
      </c>
      <c r="K134" s="146">
        <f>+K135+K142+K151+K154+K156</f>
        <v>40000</v>
      </c>
      <c r="N134" s="2">
        <f t="shared" si="21"/>
        <v>3111666.666666667</v>
      </c>
      <c r="AL134" s="59">
        <f t="shared" si="18"/>
        <v>3496100</v>
      </c>
      <c r="AM134" s="17">
        <f>+AM135+AM142+AM151+AM154+AM156</f>
        <v>0</v>
      </c>
      <c r="AN134" s="17">
        <f>+AN135+AN142+AN151+AN154+AN156</f>
        <v>0</v>
      </c>
      <c r="AO134" s="146">
        <f>+AO135+AO142+AO151+AO154+AO156+AO152</f>
        <v>3441100</v>
      </c>
      <c r="AP134" s="147">
        <f>+AP135+AP142+AP151+AP154+AP156</f>
        <v>0</v>
      </c>
      <c r="AQ134" s="146">
        <f>+AQ135+AQ142+AQ151+AQ154+AQ156</f>
        <v>55000</v>
      </c>
      <c r="AS134" s="1">
        <f t="shared" si="16"/>
        <v>3441100</v>
      </c>
    </row>
    <row r="135" spans="1:45" s="142" customFormat="1" ht="18" customHeight="1">
      <c r="A135" s="123"/>
      <c r="B135" s="148"/>
      <c r="C135" s="102" t="s">
        <v>229</v>
      </c>
      <c r="D135" s="11">
        <v>425210</v>
      </c>
      <c r="E135" s="122" t="s">
        <v>230</v>
      </c>
      <c r="F135" s="59">
        <f t="shared" si="20"/>
        <v>2630000</v>
      </c>
      <c r="G135" s="17">
        <f>+G136+G138+G139+G141</f>
        <v>0</v>
      </c>
      <c r="H135" s="17">
        <f>+H136+H138+H139+H141</f>
        <v>0</v>
      </c>
      <c r="I135" s="17">
        <f>+I136+I138+I139+I141+I140+I137</f>
        <v>2620000</v>
      </c>
      <c r="J135" s="149">
        <f>+J136+J138+J139+J141</f>
        <v>0</v>
      </c>
      <c r="K135" s="17">
        <f>+K136+K138+K139+K141</f>
        <v>10000</v>
      </c>
      <c r="N135" s="2">
        <f t="shared" si="21"/>
        <v>2183333.3333333335</v>
      </c>
      <c r="AL135" s="61">
        <f t="shared" si="18"/>
        <v>2349000</v>
      </c>
      <c r="AM135" s="17">
        <f>+AM136+AM138+AM139+AM141</f>
        <v>0</v>
      </c>
      <c r="AN135" s="17">
        <f>+AN136+AN138+AN139+AN141</f>
        <v>0</v>
      </c>
      <c r="AO135" s="17">
        <f>AO136+AO138+AO139+AO141</f>
        <v>2349000</v>
      </c>
      <c r="AP135" s="149">
        <f>+AP136+AP138+AP139+AP141</f>
        <v>0</v>
      </c>
      <c r="AQ135" s="17">
        <f>+AQ136+AQ138+AQ139+AQ141</f>
        <v>0</v>
      </c>
      <c r="AS135" s="1">
        <f t="shared" si="16"/>
        <v>2349000</v>
      </c>
    </row>
    <row r="136" spans="1:45" s="142" customFormat="1" ht="11.25">
      <c r="A136" s="123"/>
      <c r="B136" s="307"/>
      <c r="C136" s="103" t="s">
        <v>231</v>
      </c>
      <c r="D136" s="8">
        <v>425211</v>
      </c>
      <c r="E136" s="19" t="s">
        <v>232</v>
      </c>
      <c r="F136" s="59">
        <f t="shared" si="20"/>
        <v>90000</v>
      </c>
      <c r="G136" s="59"/>
      <c r="H136" s="59"/>
      <c r="I136" s="59">
        <v>80000</v>
      </c>
      <c r="J136" s="86"/>
      <c r="K136" s="59">
        <v>10000</v>
      </c>
      <c r="N136" s="2">
        <f t="shared" si="21"/>
        <v>66666.66666666667</v>
      </c>
      <c r="AL136" s="59">
        <f t="shared" si="18"/>
        <v>2180000</v>
      </c>
      <c r="AM136" s="59"/>
      <c r="AN136" s="59"/>
      <c r="AO136" s="59">
        <v>2180000</v>
      </c>
      <c r="AP136" s="86"/>
      <c r="AQ136" s="59"/>
      <c r="AS136" s="1">
        <f t="shared" si="16"/>
        <v>2180000</v>
      </c>
    </row>
    <row r="137" spans="1:45" s="142" customFormat="1" ht="11.25">
      <c r="A137" s="123"/>
      <c r="B137" s="307"/>
      <c r="C137" s="103" t="s">
        <v>233</v>
      </c>
      <c r="D137" s="8">
        <v>42521101</v>
      </c>
      <c r="E137" s="19" t="s">
        <v>234</v>
      </c>
      <c r="F137" s="59">
        <f t="shared" si="20"/>
        <v>2530000</v>
      </c>
      <c r="G137" s="59"/>
      <c r="H137" s="59"/>
      <c r="I137" s="59">
        <v>2450000</v>
      </c>
      <c r="J137" s="86"/>
      <c r="K137" s="59">
        <v>80000</v>
      </c>
      <c r="N137" s="2"/>
      <c r="AL137" s="59"/>
      <c r="AM137" s="59"/>
      <c r="AN137" s="59"/>
      <c r="AO137" s="59"/>
      <c r="AP137" s="86"/>
      <c r="AQ137" s="59"/>
      <c r="AS137" s="1"/>
    </row>
    <row r="138" spans="1:45" s="142" customFormat="1" ht="11.25">
      <c r="A138" s="123"/>
      <c r="B138" s="307"/>
      <c r="C138" s="103" t="s">
        <v>235</v>
      </c>
      <c r="D138" s="8">
        <v>425212</v>
      </c>
      <c r="E138" s="19" t="s">
        <v>236</v>
      </c>
      <c r="F138" s="59">
        <f t="shared" si="20"/>
        <v>10000</v>
      </c>
      <c r="G138" s="59"/>
      <c r="H138" s="59"/>
      <c r="I138" s="59">
        <v>10000</v>
      </c>
      <c r="J138" s="86"/>
      <c r="K138" s="59"/>
      <c r="N138" s="2">
        <f>+I138/1.2</f>
        <v>8333.333333333334</v>
      </c>
      <c r="AL138" s="59">
        <f>+AM138+AN138+AO138+AP138+AQ138</f>
        <v>24000</v>
      </c>
      <c r="AM138" s="59"/>
      <c r="AN138" s="59"/>
      <c r="AO138" s="59">
        <v>24000</v>
      </c>
      <c r="AP138" s="86"/>
      <c r="AQ138" s="59"/>
      <c r="AS138" s="1">
        <f aca="true" t="shared" si="22" ref="AS138:AS152">AL138-AN138-AQ138</f>
        <v>24000</v>
      </c>
    </row>
    <row r="139" spans="1:45" s="142" customFormat="1" ht="11.25">
      <c r="A139" s="123"/>
      <c r="B139" s="307"/>
      <c r="C139" s="103" t="s">
        <v>237</v>
      </c>
      <c r="D139" s="8">
        <v>425213</v>
      </c>
      <c r="E139" s="19" t="s">
        <v>238</v>
      </c>
      <c r="F139" s="59">
        <f t="shared" si="20"/>
        <v>50000</v>
      </c>
      <c r="G139" s="59"/>
      <c r="H139" s="59"/>
      <c r="I139" s="59">
        <v>50000</v>
      </c>
      <c r="J139" s="86"/>
      <c r="K139" s="59"/>
      <c r="N139" s="2">
        <f>+I139/1.2</f>
        <v>41666.66666666667</v>
      </c>
      <c r="AL139" s="59">
        <f>+AM139+AN139+AO139+AP139+AQ139</f>
        <v>15000</v>
      </c>
      <c r="AM139" s="59"/>
      <c r="AN139" s="59"/>
      <c r="AO139" s="59">
        <v>15000</v>
      </c>
      <c r="AP139" s="86"/>
      <c r="AQ139" s="59"/>
      <c r="AS139" s="1">
        <f t="shared" si="22"/>
        <v>15000</v>
      </c>
    </row>
    <row r="140" spans="1:45" s="142" customFormat="1" ht="11.25" hidden="1">
      <c r="A140" s="123"/>
      <c r="B140" s="307"/>
      <c r="C140" s="103" t="s">
        <v>239</v>
      </c>
      <c r="D140" s="8">
        <v>425219</v>
      </c>
      <c r="E140" s="19" t="s">
        <v>240</v>
      </c>
      <c r="F140" s="59">
        <f t="shared" si="20"/>
        <v>0</v>
      </c>
      <c r="G140" s="59"/>
      <c r="H140" s="59"/>
      <c r="I140" s="59"/>
      <c r="J140" s="86"/>
      <c r="K140" s="59"/>
      <c r="N140" s="2"/>
      <c r="AL140" s="59">
        <f>+AM140+AN140+AO140+AP140+AQ140</f>
        <v>40000</v>
      </c>
      <c r="AM140" s="59"/>
      <c r="AN140" s="59"/>
      <c r="AO140" s="59">
        <v>40000</v>
      </c>
      <c r="AP140" s="86"/>
      <c r="AQ140" s="59"/>
      <c r="AS140" s="1">
        <f t="shared" si="22"/>
        <v>40000</v>
      </c>
    </row>
    <row r="141" spans="1:45" s="142" customFormat="1" ht="11.25">
      <c r="A141" s="123"/>
      <c r="B141" s="307"/>
      <c r="C141" s="103" t="s">
        <v>241</v>
      </c>
      <c r="D141" s="134">
        <v>425219</v>
      </c>
      <c r="E141" s="19" t="s">
        <v>242</v>
      </c>
      <c r="F141" s="59">
        <f>G141+H141+I141+J141+K141</f>
        <v>30000</v>
      </c>
      <c r="G141" s="59"/>
      <c r="H141" s="59"/>
      <c r="I141" s="135">
        <v>30000</v>
      </c>
      <c r="J141" s="86"/>
      <c r="K141" s="59"/>
      <c r="N141" s="2">
        <f aca="true" t="shared" si="23" ref="N141:N152">+I141/1.2</f>
        <v>25000</v>
      </c>
      <c r="AL141" s="59">
        <f>AM141+AN141+AO141+AP141+AQ141</f>
        <v>130000</v>
      </c>
      <c r="AM141" s="59"/>
      <c r="AN141" s="59"/>
      <c r="AO141" s="59">
        <v>130000</v>
      </c>
      <c r="AP141" s="86"/>
      <c r="AQ141" s="59"/>
      <c r="AS141" s="1">
        <f t="shared" si="22"/>
        <v>130000</v>
      </c>
    </row>
    <row r="142" spans="1:45" s="142" customFormat="1" ht="15.75" customHeight="1">
      <c r="A142" s="123"/>
      <c r="B142" s="150"/>
      <c r="C142" s="102" t="s">
        <v>243</v>
      </c>
      <c r="D142" s="11">
        <v>425220</v>
      </c>
      <c r="E142" s="122" t="s">
        <v>244</v>
      </c>
      <c r="F142" s="61">
        <f>+G142+H142+I142+J142+K142</f>
        <v>342000</v>
      </c>
      <c r="G142" s="61">
        <f>+G143+G144+G145+G146+G147+G148+G149+G150</f>
        <v>0</v>
      </c>
      <c r="H142" s="61">
        <f>+H143+H144+H145+H146+H147+H148+H149+H150</f>
        <v>0</v>
      </c>
      <c r="I142" s="17">
        <f>+I143+I144+I145+I146+I147+I148+I149+I150</f>
        <v>312000</v>
      </c>
      <c r="J142" s="17">
        <f>+J143+J144+J145+J146+J147+J148+J149+J150</f>
        <v>0</v>
      </c>
      <c r="K142" s="17">
        <f>+K143+K144+K145+K146+K147+K148+K149+K150</f>
        <v>30000</v>
      </c>
      <c r="N142" s="2">
        <f t="shared" si="23"/>
        <v>260000</v>
      </c>
      <c r="AL142" s="61">
        <f aca="true" t="shared" si="24" ref="AL142:AL152">+AM142+AN142+AO142+AP142+AQ142</f>
        <v>567100</v>
      </c>
      <c r="AM142" s="61">
        <f>+AM143+AM144+AM145+AM146+AM147+AM148+AM149+AM150</f>
        <v>0</v>
      </c>
      <c r="AN142" s="61">
        <f>+AN143+AN144+AN145+AN146+AN147+AN148+AN149+AN150</f>
        <v>0</v>
      </c>
      <c r="AO142" s="17">
        <f>+AO143+AO144+AO145+AO146+AO147+AO148+AO149+AO150</f>
        <v>512100</v>
      </c>
      <c r="AP142" s="149">
        <f>+AP143+AP144+AP145+AP146+AP147+AP148+AP149+AP150</f>
        <v>0</v>
      </c>
      <c r="AQ142" s="17">
        <f>+AQ143+AQ144+AQ145+AQ146+AQ147+AQ148+AQ149+AQ150</f>
        <v>55000</v>
      </c>
      <c r="AS142" s="1">
        <f t="shared" si="22"/>
        <v>512100</v>
      </c>
    </row>
    <row r="143" spans="1:45" s="142" customFormat="1" ht="11.25">
      <c r="A143" s="74"/>
      <c r="B143" s="306"/>
      <c r="C143" s="112" t="s">
        <v>245</v>
      </c>
      <c r="D143" s="8">
        <v>425221</v>
      </c>
      <c r="E143" s="19" t="s">
        <v>246</v>
      </c>
      <c r="F143" s="59">
        <f>+G143+H143+I143+J143+K143</f>
        <v>60000</v>
      </c>
      <c r="G143" s="59"/>
      <c r="H143" s="59"/>
      <c r="I143" s="59">
        <v>30000</v>
      </c>
      <c r="J143" s="86"/>
      <c r="K143" s="59">
        <v>30000</v>
      </c>
      <c r="N143" s="2">
        <f t="shared" si="23"/>
        <v>25000</v>
      </c>
      <c r="AL143" s="59">
        <f t="shared" si="24"/>
        <v>20000</v>
      </c>
      <c r="AM143" s="59"/>
      <c r="AN143" s="59"/>
      <c r="AO143" s="59"/>
      <c r="AP143" s="86"/>
      <c r="AQ143" s="59">
        <v>20000</v>
      </c>
      <c r="AS143" s="1">
        <f t="shared" si="22"/>
        <v>0</v>
      </c>
    </row>
    <row r="144" spans="1:45" s="142" customFormat="1" ht="11.25">
      <c r="A144" s="74"/>
      <c r="B144" s="306"/>
      <c r="C144" s="112" t="s">
        <v>247</v>
      </c>
      <c r="D144" s="8">
        <v>425222</v>
      </c>
      <c r="E144" s="19" t="s">
        <v>248</v>
      </c>
      <c r="F144" s="59">
        <f>+G144+H144+I144+J144+K144</f>
        <v>5000</v>
      </c>
      <c r="G144" s="59"/>
      <c r="H144" s="59"/>
      <c r="I144" s="59">
        <v>5000</v>
      </c>
      <c r="J144" s="86"/>
      <c r="K144" s="59"/>
      <c r="N144" s="2">
        <f t="shared" si="23"/>
        <v>4166.666666666667</v>
      </c>
      <c r="AL144" s="59">
        <f t="shared" si="24"/>
        <v>15000</v>
      </c>
      <c r="AM144" s="59"/>
      <c r="AN144" s="59"/>
      <c r="AO144" s="59">
        <v>10000</v>
      </c>
      <c r="AP144" s="86"/>
      <c r="AQ144" s="59">
        <v>5000</v>
      </c>
      <c r="AS144" s="1">
        <f t="shared" si="22"/>
        <v>10000</v>
      </c>
    </row>
    <row r="145" spans="1:45" s="142" customFormat="1" ht="11.25">
      <c r="A145" s="74"/>
      <c r="B145" s="306"/>
      <c r="C145" s="112" t="s">
        <v>249</v>
      </c>
      <c r="D145" s="8">
        <v>425223</v>
      </c>
      <c r="E145" s="19" t="s">
        <v>250</v>
      </c>
      <c r="F145" s="59">
        <f>+G145+H145+I145+J145+K145</f>
        <v>0</v>
      </c>
      <c r="G145" s="59"/>
      <c r="H145" s="59"/>
      <c r="I145" s="59"/>
      <c r="J145" s="86"/>
      <c r="K145" s="59"/>
      <c r="N145" s="2">
        <f t="shared" si="23"/>
        <v>0</v>
      </c>
      <c r="AL145" s="59">
        <f t="shared" si="24"/>
        <v>10000</v>
      </c>
      <c r="AM145" s="59"/>
      <c r="AN145" s="59"/>
      <c r="AO145" s="59">
        <v>10000</v>
      </c>
      <c r="AP145" s="86"/>
      <c r="AQ145" s="59"/>
      <c r="AS145" s="1">
        <f t="shared" si="22"/>
        <v>10000</v>
      </c>
    </row>
    <row r="146" spans="1:45" s="142" customFormat="1" ht="11.25">
      <c r="A146" s="74"/>
      <c r="B146" s="306"/>
      <c r="C146" s="112" t="s">
        <v>251</v>
      </c>
      <c r="D146" s="8">
        <v>425224</v>
      </c>
      <c r="E146" s="19" t="s">
        <v>252</v>
      </c>
      <c r="F146" s="59"/>
      <c r="G146" s="59"/>
      <c r="H146" s="59"/>
      <c r="I146" s="59">
        <v>7000</v>
      </c>
      <c r="J146" s="86"/>
      <c r="K146" s="59"/>
      <c r="N146" s="2">
        <f t="shared" si="23"/>
        <v>5833.333333333334</v>
      </c>
      <c r="AL146" s="59">
        <f t="shared" si="24"/>
        <v>17000</v>
      </c>
      <c r="AM146" s="59"/>
      <c r="AN146" s="59"/>
      <c r="AO146" s="59">
        <v>17000</v>
      </c>
      <c r="AP146" s="86"/>
      <c r="AQ146" s="59"/>
      <c r="AS146" s="1">
        <f t="shared" si="22"/>
        <v>17000</v>
      </c>
    </row>
    <row r="147" spans="1:45" s="142" customFormat="1" ht="11.25">
      <c r="A147" s="74"/>
      <c r="B147" s="306"/>
      <c r="C147" s="112" t="s">
        <v>253</v>
      </c>
      <c r="D147" s="8">
        <v>425225</v>
      </c>
      <c r="E147" s="19" t="s">
        <v>254</v>
      </c>
      <c r="F147" s="59">
        <f>+G147+H147+I147+J147+K147</f>
        <v>250000</v>
      </c>
      <c r="G147" s="59"/>
      <c r="H147" s="59"/>
      <c r="I147" s="59">
        <v>250000</v>
      </c>
      <c r="J147" s="86"/>
      <c r="K147" s="59"/>
      <c r="N147" s="2">
        <f t="shared" si="23"/>
        <v>208333.33333333334</v>
      </c>
      <c r="AL147" s="59">
        <f t="shared" si="24"/>
        <v>430000</v>
      </c>
      <c r="AM147" s="59"/>
      <c r="AN147" s="59"/>
      <c r="AO147" s="59">
        <v>400000</v>
      </c>
      <c r="AP147" s="86"/>
      <c r="AQ147" s="59">
        <v>30000</v>
      </c>
      <c r="AS147" s="1">
        <f t="shared" si="22"/>
        <v>400000</v>
      </c>
    </row>
    <row r="148" spans="1:45" s="142" customFormat="1" ht="11.25">
      <c r="A148" s="74"/>
      <c r="B148" s="306"/>
      <c r="C148" s="112" t="s">
        <v>255</v>
      </c>
      <c r="D148" s="8">
        <v>425226</v>
      </c>
      <c r="E148" s="19" t="s">
        <v>256</v>
      </c>
      <c r="F148" s="59">
        <f>+G148+H148+I148+J148+K148</f>
        <v>5000</v>
      </c>
      <c r="G148" s="59"/>
      <c r="H148" s="59"/>
      <c r="I148" s="59">
        <v>5000</v>
      </c>
      <c r="J148" s="86"/>
      <c r="K148" s="59"/>
      <c r="N148" s="2">
        <f t="shared" si="23"/>
        <v>4166.666666666667</v>
      </c>
      <c r="AL148" s="59">
        <f t="shared" si="24"/>
        <v>10000</v>
      </c>
      <c r="AM148" s="59"/>
      <c r="AN148" s="59"/>
      <c r="AO148" s="59">
        <v>10000</v>
      </c>
      <c r="AP148" s="86"/>
      <c r="AQ148" s="59"/>
      <c r="AS148" s="1">
        <f t="shared" si="22"/>
        <v>10000</v>
      </c>
    </row>
    <row r="149" spans="1:45" s="142" customFormat="1" ht="13.5" customHeight="1">
      <c r="A149" s="74"/>
      <c r="B149" s="306"/>
      <c r="C149" s="112" t="s">
        <v>257</v>
      </c>
      <c r="D149" s="8">
        <v>425229</v>
      </c>
      <c r="E149" s="19" t="s">
        <v>258</v>
      </c>
      <c r="F149" s="59">
        <f>+G149+H149+I149+J149+K149</f>
        <v>5000</v>
      </c>
      <c r="G149" s="59"/>
      <c r="H149" s="59"/>
      <c r="I149" s="59">
        <v>5000</v>
      </c>
      <c r="J149" s="86"/>
      <c r="K149" s="59"/>
      <c r="N149" s="2">
        <f t="shared" si="23"/>
        <v>4166.666666666667</v>
      </c>
      <c r="AL149" s="59">
        <f t="shared" si="24"/>
        <v>15100</v>
      </c>
      <c r="AM149" s="59"/>
      <c r="AN149" s="59"/>
      <c r="AO149" s="59">
        <v>15100</v>
      </c>
      <c r="AP149" s="86"/>
      <c r="AQ149" s="59"/>
      <c r="AS149" s="1">
        <f t="shared" si="22"/>
        <v>15100</v>
      </c>
    </row>
    <row r="150" spans="1:45" s="142" customFormat="1" ht="13.5" customHeight="1">
      <c r="A150" s="74"/>
      <c r="B150" s="114"/>
      <c r="C150" s="112" t="s">
        <v>259</v>
      </c>
      <c r="D150" s="8">
        <v>425227</v>
      </c>
      <c r="E150" s="19" t="s">
        <v>260</v>
      </c>
      <c r="F150" s="59">
        <f>G150+H150+I150+J150+K150</f>
        <v>10000</v>
      </c>
      <c r="G150" s="59"/>
      <c r="H150" s="59"/>
      <c r="I150" s="59">
        <v>10000</v>
      </c>
      <c r="J150" s="86"/>
      <c r="K150" s="59"/>
      <c r="N150" s="2">
        <f t="shared" si="23"/>
        <v>8333.333333333334</v>
      </c>
      <c r="AL150" s="59">
        <f t="shared" si="24"/>
        <v>50000</v>
      </c>
      <c r="AM150" s="59"/>
      <c r="AN150" s="59"/>
      <c r="AO150" s="59">
        <v>50000</v>
      </c>
      <c r="AP150" s="86"/>
      <c r="AQ150" s="59"/>
      <c r="AS150" s="1">
        <f t="shared" si="22"/>
        <v>50000</v>
      </c>
    </row>
    <row r="151" spans="1:45" s="142" customFormat="1" ht="24.75" customHeight="1">
      <c r="A151" s="123"/>
      <c r="B151" s="151"/>
      <c r="C151" s="102" t="s">
        <v>261</v>
      </c>
      <c r="D151" s="11">
        <v>425251</v>
      </c>
      <c r="E151" s="122" t="s">
        <v>262</v>
      </c>
      <c r="F151" s="61">
        <f>+G151+H151+I151+J151+K151</f>
        <v>250000</v>
      </c>
      <c r="G151" s="61"/>
      <c r="H151" s="61"/>
      <c r="I151" s="61">
        <v>250000</v>
      </c>
      <c r="J151" s="99"/>
      <c r="K151" s="61"/>
      <c r="N151" s="2">
        <f t="shared" si="23"/>
        <v>208333.33333333334</v>
      </c>
      <c r="AL151" s="61">
        <f t="shared" si="24"/>
        <v>250000</v>
      </c>
      <c r="AM151" s="61"/>
      <c r="AN151" s="61"/>
      <c r="AO151" s="61">
        <v>250000</v>
      </c>
      <c r="AP151" s="99"/>
      <c r="AQ151" s="61"/>
      <c r="AS151" s="1">
        <f t="shared" si="22"/>
        <v>250000</v>
      </c>
    </row>
    <row r="152" spans="1:45" s="142" customFormat="1" ht="22.5" customHeight="1">
      <c r="A152" s="123"/>
      <c r="B152" s="148"/>
      <c r="C152" s="102" t="s">
        <v>263</v>
      </c>
      <c r="D152" s="11">
        <v>42525104</v>
      </c>
      <c r="E152" s="122" t="s">
        <v>264</v>
      </c>
      <c r="F152" s="61">
        <f>+G152+H152+I152+J152+K152</f>
        <v>150000</v>
      </c>
      <c r="G152" s="61"/>
      <c r="H152" s="61"/>
      <c r="I152" s="61">
        <v>150000</v>
      </c>
      <c r="J152" s="99"/>
      <c r="K152" s="61"/>
      <c r="N152" s="2">
        <f t="shared" si="23"/>
        <v>125000</v>
      </c>
      <c r="AL152" s="61">
        <f t="shared" si="24"/>
        <v>250000</v>
      </c>
      <c r="AM152" s="61"/>
      <c r="AN152" s="61"/>
      <c r="AO152" s="61">
        <v>250000</v>
      </c>
      <c r="AP152" s="99"/>
      <c r="AQ152" s="61"/>
      <c r="AS152" s="1">
        <f t="shared" si="22"/>
        <v>250000</v>
      </c>
    </row>
    <row r="153" spans="1:45" s="142" customFormat="1" ht="22.5" customHeight="1">
      <c r="A153" s="123"/>
      <c r="B153" s="148"/>
      <c r="C153" s="102" t="s">
        <v>265</v>
      </c>
      <c r="D153" s="11">
        <v>42525106</v>
      </c>
      <c r="E153" s="122" t="s">
        <v>266</v>
      </c>
      <c r="F153" s="61"/>
      <c r="G153" s="61"/>
      <c r="H153" s="61"/>
      <c r="I153" s="61">
        <v>312000</v>
      </c>
      <c r="J153" s="99"/>
      <c r="K153" s="61"/>
      <c r="N153" s="2"/>
      <c r="AL153" s="61"/>
      <c r="AM153" s="61"/>
      <c r="AN153" s="61"/>
      <c r="AO153" s="61"/>
      <c r="AP153" s="99"/>
      <c r="AQ153" s="61"/>
      <c r="AS153" s="1"/>
    </row>
    <row r="154" spans="1:45" s="142" customFormat="1" ht="16.5" customHeight="1">
      <c r="A154" s="123"/>
      <c r="B154" s="148"/>
      <c r="C154" s="102" t="s">
        <v>267</v>
      </c>
      <c r="D154" s="11">
        <v>425252</v>
      </c>
      <c r="E154" s="122" t="s">
        <v>268</v>
      </c>
      <c r="F154" s="61">
        <f aca="true" t="shared" si="25" ref="F154:F185">+G154+H154+I154+J154+K154</f>
        <v>80000</v>
      </c>
      <c r="G154" s="61"/>
      <c r="H154" s="61"/>
      <c r="I154" s="61">
        <v>80000</v>
      </c>
      <c r="J154" s="99"/>
      <c r="K154" s="61"/>
      <c r="N154" s="2">
        <f>+I154/1.2</f>
        <v>66666.66666666667</v>
      </c>
      <c r="AL154" s="61">
        <f aca="true" t="shared" si="26" ref="AL154:AL161">+AM154+AN154+AO154+AP154+AQ154</f>
        <v>70000</v>
      </c>
      <c r="AM154" s="61"/>
      <c r="AN154" s="61"/>
      <c r="AO154" s="61">
        <v>70000</v>
      </c>
      <c r="AP154" s="99"/>
      <c r="AQ154" s="61"/>
      <c r="AS154" s="1">
        <f aca="true" t="shared" si="27" ref="AS154:AS161">AL154-AN154-AQ154</f>
        <v>70000</v>
      </c>
    </row>
    <row r="155" spans="1:45" s="142" customFormat="1" ht="16.5" customHeight="1">
      <c r="A155" s="123"/>
      <c r="B155" s="148"/>
      <c r="C155" s="102" t="s">
        <v>269</v>
      </c>
      <c r="D155" s="11">
        <v>425253</v>
      </c>
      <c r="E155" s="122" t="s">
        <v>270</v>
      </c>
      <c r="F155" s="61">
        <f t="shared" si="25"/>
        <v>5000</v>
      </c>
      <c r="G155" s="61"/>
      <c r="H155" s="61"/>
      <c r="I155" s="61">
        <v>5000</v>
      </c>
      <c r="J155" s="99"/>
      <c r="K155" s="61"/>
      <c r="N155" s="2"/>
      <c r="AL155" s="61">
        <f t="shared" si="26"/>
        <v>0</v>
      </c>
      <c r="AM155" s="61"/>
      <c r="AN155" s="61"/>
      <c r="AO155" s="61"/>
      <c r="AP155" s="99"/>
      <c r="AQ155" s="61"/>
      <c r="AS155" s="1">
        <f t="shared" si="27"/>
        <v>0</v>
      </c>
    </row>
    <row r="156" spans="1:45" s="142" customFormat="1" ht="16.5" customHeight="1">
      <c r="A156" s="136"/>
      <c r="B156" s="148"/>
      <c r="C156" s="102" t="s">
        <v>271</v>
      </c>
      <c r="D156" s="11">
        <v>425281</v>
      </c>
      <c r="E156" s="152" t="s">
        <v>272</v>
      </c>
      <c r="F156" s="59">
        <f t="shared" si="25"/>
        <v>5000</v>
      </c>
      <c r="G156" s="153"/>
      <c r="H156" s="153"/>
      <c r="I156" s="153">
        <v>5000</v>
      </c>
      <c r="J156" s="154"/>
      <c r="K156" s="153"/>
      <c r="N156" s="2">
        <f aca="true" t="shared" si="28" ref="N156:N161">+I156/1.2</f>
        <v>4166.666666666667</v>
      </c>
      <c r="AL156" s="61">
        <f t="shared" si="26"/>
        <v>10000</v>
      </c>
      <c r="AM156" s="153"/>
      <c r="AN156" s="153"/>
      <c r="AO156" s="153">
        <v>10000</v>
      </c>
      <c r="AP156" s="154"/>
      <c r="AQ156" s="153"/>
      <c r="AS156" s="1">
        <f t="shared" si="27"/>
        <v>10000</v>
      </c>
    </row>
    <row r="157" spans="1:45" s="142" customFormat="1" ht="16.5" customHeight="1">
      <c r="A157" s="87">
        <v>6</v>
      </c>
      <c r="B157" s="11">
        <v>426000</v>
      </c>
      <c r="C157" s="8"/>
      <c r="D157" s="287" t="s">
        <v>273</v>
      </c>
      <c r="E157" s="287"/>
      <c r="F157" s="61">
        <f t="shared" si="25"/>
        <v>45205000</v>
      </c>
      <c r="G157" s="21">
        <f>+G158+G167+G169+G176+G193+G201</f>
        <v>0</v>
      </c>
      <c r="H157" s="21">
        <f>+H158+H167+H169+H176+H193+H201</f>
        <v>0</v>
      </c>
      <c r="I157" s="132">
        <f>+I158+I167+I169+I176+I193+I201</f>
        <v>43635000</v>
      </c>
      <c r="J157" s="133">
        <f>+J158+J167+J169+J176+J193+J201</f>
        <v>0</v>
      </c>
      <c r="K157" s="132">
        <f>+K158+K167+K169+K176+K193+K201</f>
        <v>1570000</v>
      </c>
      <c r="N157" s="2">
        <f t="shared" si="28"/>
        <v>36362500</v>
      </c>
      <c r="AL157" s="61">
        <f t="shared" si="26"/>
        <v>30483105</v>
      </c>
      <c r="AM157" s="21">
        <f>+AM158+AM167+AM169+AM176+AM193+AM201</f>
        <v>0</v>
      </c>
      <c r="AN157" s="21">
        <f>+AN158+AN167+AN169+AN176+AN193+AN201</f>
        <v>0</v>
      </c>
      <c r="AO157" s="132">
        <f>+AO158+AO167+AO169+AO176+AO193+AO201</f>
        <v>28548605</v>
      </c>
      <c r="AP157" s="133">
        <f>+AP158+AP167+AP169+AP176+AP193+AP201</f>
        <v>50000</v>
      </c>
      <c r="AQ157" s="132">
        <f>+AQ158+AQ167+AQ169+AQ176+AQ193+AQ201</f>
        <v>1884500</v>
      </c>
      <c r="AS157" s="1">
        <f t="shared" si="27"/>
        <v>28598605</v>
      </c>
    </row>
    <row r="158" spans="1:45" s="142" customFormat="1" ht="11.25">
      <c r="A158" s="121"/>
      <c r="B158" s="4"/>
      <c r="C158" s="102" t="s">
        <v>274</v>
      </c>
      <c r="D158" s="11">
        <v>426100</v>
      </c>
      <c r="E158" s="122" t="s">
        <v>275</v>
      </c>
      <c r="F158" s="61">
        <f t="shared" si="25"/>
        <v>2378000</v>
      </c>
      <c r="G158" s="17">
        <f>+G159+G160+G161+G165</f>
        <v>0</v>
      </c>
      <c r="H158" s="17">
        <f>+H159+H160+H161+H165</f>
        <v>0</v>
      </c>
      <c r="I158" s="17">
        <f>+I159+I160+I161+I165+I166+I162+I163+I164</f>
        <v>2378000</v>
      </c>
      <c r="J158" s="149">
        <f>+J159+J160+J161+J165</f>
        <v>0</v>
      </c>
      <c r="K158" s="17">
        <f>+K159+K160+K161+K165</f>
        <v>0</v>
      </c>
      <c r="N158" s="2">
        <f t="shared" si="28"/>
        <v>1981666.6666666667</v>
      </c>
      <c r="AL158" s="61">
        <f t="shared" si="26"/>
        <v>820305</v>
      </c>
      <c r="AM158" s="17">
        <f>+AM159+AM160+AM161+AM165</f>
        <v>0</v>
      </c>
      <c r="AN158" s="17">
        <f>+AN159+AN160+AN161+AN165</f>
        <v>0</v>
      </c>
      <c r="AO158" s="17">
        <f>+AO159+AO160+AO161+AO165+AO166</f>
        <v>810305</v>
      </c>
      <c r="AP158" s="149">
        <f>+AP159+AP160+AP161+AP165</f>
        <v>0</v>
      </c>
      <c r="AQ158" s="17">
        <f>+AQ159+AQ160+AQ161+AQ165</f>
        <v>10000</v>
      </c>
      <c r="AS158" s="1">
        <f t="shared" si="27"/>
        <v>810305</v>
      </c>
    </row>
    <row r="159" spans="1:45" s="142" customFormat="1" ht="11.25">
      <c r="A159" s="123"/>
      <c r="B159" s="305"/>
      <c r="C159" s="103" t="s">
        <v>276</v>
      </c>
      <c r="D159" s="8">
        <v>426111</v>
      </c>
      <c r="E159" s="19" t="s">
        <v>277</v>
      </c>
      <c r="F159" s="59">
        <f t="shared" si="25"/>
        <v>300000</v>
      </c>
      <c r="G159" s="59"/>
      <c r="H159" s="59"/>
      <c r="I159" s="59">
        <v>300000</v>
      </c>
      <c r="J159" s="86"/>
      <c r="K159" s="59"/>
      <c r="N159" s="2">
        <f t="shared" si="28"/>
        <v>250000</v>
      </c>
      <c r="AL159" s="59">
        <f t="shared" si="26"/>
        <v>250000</v>
      </c>
      <c r="AM159" s="59"/>
      <c r="AN159" s="59"/>
      <c r="AO159" s="59">
        <v>250000</v>
      </c>
      <c r="AP159" s="86"/>
      <c r="AQ159" s="59"/>
      <c r="AS159" s="1">
        <f t="shared" si="27"/>
        <v>250000</v>
      </c>
    </row>
    <row r="160" spans="1:45" s="142" customFormat="1" ht="11.25">
      <c r="A160" s="123"/>
      <c r="B160" s="305"/>
      <c r="C160" s="103" t="s">
        <v>278</v>
      </c>
      <c r="D160" s="8">
        <v>4261111</v>
      </c>
      <c r="E160" s="19" t="s">
        <v>279</v>
      </c>
      <c r="F160" s="59">
        <f t="shared" si="25"/>
        <v>450000</v>
      </c>
      <c r="G160" s="59"/>
      <c r="H160" s="59"/>
      <c r="I160" s="59">
        <v>450000</v>
      </c>
      <c r="J160" s="86"/>
      <c r="K160" s="59"/>
      <c r="N160" s="2">
        <f t="shared" si="28"/>
        <v>375000</v>
      </c>
      <c r="AL160" s="59">
        <f t="shared" si="26"/>
        <v>350000</v>
      </c>
      <c r="AM160" s="59"/>
      <c r="AN160" s="59"/>
      <c r="AO160" s="59">
        <v>350000</v>
      </c>
      <c r="AP160" s="86"/>
      <c r="AQ160" s="59"/>
      <c r="AS160" s="1">
        <f t="shared" si="27"/>
        <v>350000</v>
      </c>
    </row>
    <row r="161" spans="1:45" s="142" customFormat="1" ht="11.25">
      <c r="A161" s="123"/>
      <c r="B161" s="305"/>
      <c r="C161" s="103" t="s">
        <v>280</v>
      </c>
      <c r="D161" s="8">
        <v>4261112</v>
      </c>
      <c r="E161" s="19" t="s">
        <v>281</v>
      </c>
      <c r="F161" s="59">
        <f t="shared" si="25"/>
        <v>150000</v>
      </c>
      <c r="G161" s="59"/>
      <c r="H161" s="59"/>
      <c r="I161" s="113">
        <v>150000</v>
      </c>
      <c r="J161" s="86"/>
      <c r="K161" s="59"/>
      <c r="N161" s="2">
        <f t="shared" si="28"/>
        <v>125000</v>
      </c>
      <c r="AL161" s="59">
        <f t="shared" si="26"/>
        <v>180305</v>
      </c>
      <c r="AM161" s="59"/>
      <c r="AN161" s="59"/>
      <c r="AO161" s="113">
        <v>180305</v>
      </c>
      <c r="AP161" s="86"/>
      <c r="AQ161" s="59"/>
      <c r="AS161" s="1">
        <f t="shared" si="27"/>
        <v>180305</v>
      </c>
    </row>
    <row r="162" spans="1:45" s="142" customFormat="1" ht="11.25">
      <c r="A162" s="123"/>
      <c r="B162" s="305"/>
      <c r="C162" s="103"/>
      <c r="D162" s="8">
        <v>426121</v>
      </c>
      <c r="E162" s="19" t="s">
        <v>282</v>
      </c>
      <c r="F162" s="59">
        <f t="shared" si="25"/>
        <v>251000</v>
      </c>
      <c r="G162" s="59"/>
      <c r="H162" s="59"/>
      <c r="I162" s="113">
        <v>251000</v>
      </c>
      <c r="J162" s="86"/>
      <c r="K162" s="59"/>
      <c r="N162" s="2"/>
      <c r="AL162" s="59"/>
      <c r="AM162" s="59"/>
      <c r="AN162" s="59"/>
      <c r="AO162" s="113"/>
      <c r="AP162" s="86"/>
      <c r="AQ162" s="59"/>
      <c r="AS162" s="1"/>
    </row>
    <row r="163" spans="1:45" s="142" customFormat="1" ht="11.25">
      <c r="A163" s="123"/>
      <c r="B163" s="305"/>
      <c r="C163" s="103"/>
      <c r="D163" s="8">
        <v>426122</v>
      </c>
      <c r="E163" s="19" t="s">
        <v>283</v>
      </c>
      <c r="F163" s="59">
        <f t="shared" si="25"/>
        <v>100000</v>
      </c>
      <c r="G163" s="59"/>
      <c r="H163" s="59"/>
      <c r="I163" s="113">
        <v>100000</v>
      </c>
      <c r="J163" s="86"/>
      <c r="K163" s="59"/>
      <c r="N163" s="2"/>
      <c r="AL163" s="59"/>
      <c r="AM163" s="59"/>
      <c r="AN163" s="59"/>
      <c r="AO163" s="113"/>
      <c r="AP163" s="86"/>
      <c r="AQ163" s="59"/>
      <c r="AS163" s="1"/>
    </row>
    <row r="164" spans="1:45" s="142" customFormat="1" ht="11.25">
      <c r="A164" s="123"/>
      <c r="B164" s="305"/>
      <c r="C164" s="103"/>
      <c r="D164" s="8">
        <v>426123</v>
      </c>
      <c r="E164" s="19" t="s">
        <v>284</v>
      </c>
      <c r="F164" s="59">
        <f t="shared" si="25"/>
        <v>650000</v>
      </c>
      <c r="G164" s="59"/>
      <c r="H164" s="59"/>
      <c r="I164" s="113">
        <v>650000</v>
      </c>
      <c r="J164" s="86"/>
      <c r="K164" s="59"/>
      <c r="N164" s="2"/>
      <c r="AL164" s="59"/>
      <c r="AM164" s="59"/>
      <c r="AN164" s="59"/>
      <c r="AO164" s="113"/>
      <c r="AP164" s="86"/>
      <c r="AQ164" s="59"/>
      <c r="AS164" s="1"/>
    </row>
    <row r="165" spans="1:45" s="142" customFormat="1" ht="11.25">
      <c r="A165" s="123"/>
      <c r="B165" s="305"/>
      <c r="C165" s="103" t="s">
        <v>285</v>
      </c>
      <c r="D165" s="8">
        <v>426124</v>
      </c>
      <c r="E165" s="19" t="s">
        <v>286</v>
      </c>
      <c r="F165" s="59">
        <f t="shared" si="25"/>
        <v>472000</v>
      </c>
      <c r="G165" s="59"/>
      <c r="H165" s="59"/>
      <c r="I165" s="59">
        <v>472000</v>
      </c>
      <c r="J165" s="86"/>
      <c r="K165" s="59"/>
      <c r="N165" s="2">
        <f>+I165/1.2</f>
        <v>393333.3333333334</v>
      </c>
      <c r="AL165" s="59">
        <f aca="true" t="shared" si="29" ref="AL165:AL189">+AM165+AN165+AO165+AP165+AQ165</f>
        <v>40000</v>
      </c>
      <c r="AM165" s="59"/>
      <c r="AN165" s="59"/>
      <c r="AO165" s="59">
        <v>30000</v>
      </c>
      <c r="AP165" s="86"/>
      <c r="AQ165" s="59">
        <v>10000</v>
      </c>
      <c r="AS165" s="1">
        <f aca="true" t="shared" si="30" ref="AS165:AS189">AL165-AN165-AQ165</f>
        <v>30000</v>
      </c>
    </row>
    <row r="166" spans="1:45" s="142" customFormat="1" ht="11.25">
      <c r="A166" s="123"/>
      <c r="B166" s="114"/>
      <c r="C166" s="103" t="s">
        <v>287</v>
      </c>
      <c r="D166" s="8">
        <v>426131</v>
      </c>
      <c r="E166" s="19" t="s">
        <v>288</v>
      </c>
      <c r="F166" s="59">
        <f t="shared" si="25"/>
        <v>5000</v>
      </c>
      <c r="G166" s="59"/>
      <c r="H166" s="59"/>
      <c r="I166" s="59">
        <v>5000</v>
      </c>
      <c r="J166" s="86"/>
      <c r="K166" s="59"/>
      <c r="N166" s="2"/>
      <c r="AL166" s="59">
        <f t="shared" si="29"/>
        <v>0</v>
      </c>
      <c r="AM166" s="59"/>
      <c r="AN166" s="59"/>
      <c r="AO166" s="59">
        <v>0</v>
      </c>
      <c r="AP166" s="86"/>
      <c r="AQ166" s="59"/>
      <c r="AS166" s="1">
        <f t="shared" si="30"/>
        <v>0</v>
      </c>
    </row>
    <row r="167" spans="1:45" s="142" customFormat="1" ht="22.5">
      <c r="A167" s="123"/>
      <c r="B167" s="93"/>
      <c r="C167" s="102" t="s">
        <v>289</v>
      </c>
      <c r="D167" s="11">
        <v>426300</v>
      </c>
      <c r="E167" s="122" t="s">
        <v>290</v>
      </c>
      <c r="F167" s="59">
        <f t="shared" si="25"/>
        <v>200000</v>
      </c>
      <c r="G167" s="61"/>
      <c r="H167" s="61"/>
      <c r="I167" s="61">
        <f>I168</f>
        <v>0</v>
      </c>
      <c r="J167" s="99"/>
      <c r="K167" s="61">
        <f>K168</f>
        <v>200000</v>
      </c>
      <c r="N167" s="2">
        <f>+F167/1.2</f>
        <v>166666.6666666667</v>
      </c>
      <c r="AL167" s="61">
        <f t="shared" si="29"/>
        <v>250000</v>
      </c>
      <c r="AM167" s="61"/>
      <c r="AN167" s="61"/>
      <c r="AO167" s="61">
        <v>250000</v>
      </c>
      <c r="AP167" s="99"/>
      <c r="AQ167" s="61"/>
      <c r="AS167" s="1">
        <f t="shared" si="30"/>
        <v>250000</v>
      </c>
    </row>
    <row r="168" spans="1:45" s="142" customFormat="1" ht="11.25">
      <c r="A168" s="123"/>
      <c r="B168" s="93"/>
      <c r="C168" s="102" t="s">
        <v>291</v>
      </c>
      <c r="D168" s="117">
        <v>426311</v>
      </c>
      <c r="E168" s="19" t="s">
        <v>292</v>
      </c>
      <c r="F168" s="59">
        <f t="shared" si="25"/>
        <v>200000</v>
      </c>
      <c r="G168" s="61"/>
      <c r="H168" s="61"/>
      <c r="I168" s="59"/>
      <c r="J168" s="99"/>
      <c r="K168" s="59">
        <v>200000</v>
      </c>
      <c r="N168" s="2"/>
      <c r="AL168" s="59">
        <f t="shared" si="29"/>
        <v>230000</v>
      </c>
      <c r="AM168" s="61"/>
      <c r="AN168" s="61"/>
      <c r="AO168" s="61">
        <v>230000</v>
      </c>
      <c r="AP168" s="99"/>
      <c r="AQ168" s="61"/>
      <c r="AS168" s="1">
        <f t="shared" si="30"/>
        <v>230000</v>
      </c>
    </row>
    <row r="169" spans="1:45" s="142" customFormat="1" ht="11.25">
      <c r="A169" s="123"/>
      <c r="B169" s="93"/>
      <c r="C169" s="102" t="s">
        <v>293</v>
      </c>
      <c r="D169" s="11">
        <v>426400</v>
      </c>
      <c r="E169" s="122" t="s">
        <v>294</v>
      </c>
      <c r="F169" s="61">
        <f t="shared" si="25"/>
        <v>6082000</v>
      </c>
      <c r="G169" s="17">
        <f>+G170+G171+G172+G173+G174+G175</f>
        <v>0</v>
      </c>
      <c r="H169" s="17">
        <f>+H170+H171+H172+H173+H174+H175</f>
        <v>0</v>
      </c>
      <c r="I169" s="146">
        <f>+I170+I171+I172+I173+I174+I175</f>
        <v>6032000</v>
      </c>
      <c r="J169" s="147">
        <f>+J170+J171+J172+J173+J174+J175</f>
        <v>0</v>
      </c>
      <c r="K169" s="146">
        <f>+K170+K171+K172+K173+K174+K175</f>
        <v>50000</v>
      </c>
      <c r="N169" s="2">
        <f aca="true" t="shared" si="31" ref="N169:N181">+I169/1.2</f>
        <v>5026666.666666667</v>
      </c>
      <c r="AL169" s="59">
        <f t="shared" si="29"/>
        <v>7337000</v>
      </c>
      <c r="AM169" s="17">
        <f>+AM170+AM171+AM172+AM173+AM174+AM175</f>
        <v>0</v>
      </c>
      <c r="AN169" s="17">
        <f>+AN170+AN171+AN172+AN173+AN174+AN175</f>
        <v>0</v>
      </c>
      <c r="AO169" s="146">
        <f>+AO170+AO171+AO172+AO173+AO174+AO175</f>
        <v>7337000</v>
      </c>
      <c r="AP169" s="147">
        <f>+AP170+AP171+AP172+AP173+AP174+AP175</f>
        <v>0</v>
      </c>
      <c r="AQ169" s="146">
        <f>+AQ170+AQ171+AQ172+AQ173+AQ174+AQ175</f>
        <v>0</v>
      </c>
      <c r="AS169" s="1">
        <f t="shared" si="30"/>
        <v>7337000</v>
      </c>
    </row>
    <row r="170" spans="1:45" s="142" customFormat="1" ht="11.25">
      <c r="A170" s="123"/>
      <c r="B170" s="305"/>
      <c r="C170" s="103" t="s">
        <v>295</v>
      </c>
      <c r="D170" s="8">
        <v>4264111</v>
      </c>
      <c r="E170" s="19" t="s">
        <v>296</v>
      </c>
      <c r="F170" s="59">
        <f t="shared" si="25"/>
        <v>1457000</v>
      </c>
      <c r="G170" s="59"/>
      <c r="H170" s="59"/>
      <c r="I170" s="59">
        <v>1457000</v>
      </c>
      <c r="J170" s="86"/>
      <c r="K170" s="59"/>
      <c r="N170" s="2">
        <f t="shared" si="31"/>
        <v>1214166.6666666667</v>
      </c>
      <c r="AL170" s="59">
        <f t="shared" si="29"/>
        <v>1210000</v>
      </c>
      <c r="AM170" s="59"/>
      <c r="AN170" s="59"/>
      <c r="AO170" s="59">
        <v>1210000</v>
      </c>
      <c r="AP170" s="86"/>
      <c r="AQ170" s="59"/>
      <c r="AS170" s="1">
        <f t="shared" si="30"/>
        <v>1210000</v>
      </c>
    </row>
    <row r="171" spans="1:45" s="142" customFormat="1" ht="11.25">
      <c r="A171" s="123"/>
      <c r="B171" s="305"/>
      <c r="C171" s="103" t="s">
        <v>297</v>
      </c>
      <c r="D171" s="8">
        <v>4264112</v>
      </c>
      <c r="E171" s="19" t="s">
        <v>298</v>
      </c>
      <c r="F171" s="59">
        <f t="shared" si="25"/>
        <v>590000</v>
      </c>
      <c r="G171" s="59"/>
      <c r="H171" s="59"/>
      <c r="I171" s="59">
        <v>590000</v>
      </c>
      <c r="J171" s="86"/>
      <c r="K171" s="59"/>
      <c r="N171" s="2">
        <f t="shared" si="31"/>
        <v>491666.6666666667</v>
      </c>
      <c r="AL171" s="59">
        <f t="shared" si="29"/>
        <v>1250000</v>
      </c>
      <c r="AM171" s="59"/>
      <c r="AN171" s="59"/>
      <c r="AO171" s="59">
        <v>1250000</v>
      </c>
      <c r="AP171" s="86"/>
      <c r="AQ171" s="59"/>
      <c r="AS171" s="1">
        <f t="shared" si="30"/>
        <v>1250000</v>
      </c>
    </row>
    <row r="172" spans="1:45" s="142" customFormat="1" ht="11.25">
      <c r="A172" s="123"/>
      <c r="B172" s="305"/>
      <c r="C172" s="103" t="s">
        <v>299</v>
      </c>
      <c r="D172" s="8">
        <v>426412</v>
      </c>
      <c r="E172" s="19" t="s">
        <v>300</v>
      </c>
      <c r="F172" s="59">
        <f t="shared" si="25"/>
        <v>3600000</v>
      </c>
      <c r="G172" s="59"/>
      <c r="H172" s="59"/>
      <c r="I172" s="59">
        <v>3600000</v>
      </c>
      <c r="J172" s="86"/>
      <c r="K172" s="59"/>
      <c r="N172" s="2">
        <f t="shared" si="31"/>
        <v>3000000</v>
      </c>
      <c r="AL172" s="59">
        <f t="shared" si="29"/>
        <v>4633000</v>
      </c>
      <c r="AM172" s="59"/>
      <c r="AN172" s="59"/>
      <c r="AO172" s="59">
        <v>4633000</v>
      </c>
      <c r="AP172" s="86"/>
      <c r="AQ172" s="59"/>
      <c r="AS172" s="1">
        <f t="shared" si="30"/>
        <v>4633000</v>
      </c>
    </row>
    <row r="173" spans="1:45" s="142" customFormat="1" ht="11.25">
      <c r="A173" s="123"/>
      <c r="B173" s="305"/>
      <c r="C173" s="103" t="s">
        <v>301</v>
      </c>
      <c r="D173" s="8">
        <v>426413</v>
      </c>
      <c r="E173" s="19" t="s">
        <v>302</v>
      </c>
      <c r="F173" s="59">
        <f t="shared" si="25"/>
        <v>35000</v>
      </c>
      <c r="G173" s="59"/>
      <c r="H173" s="59"/>
      <c r="I173" s="59">
        <v>35000</v>
      </c>
      <c r="J173" s="86"/>
      <c r="K173" s="59"/>
      <c r="N173" s="2">
        <f t="shared" si="31"/>
        <v>29166.666666666668</v>
      </c>
      <c r="AL173" s="59">
        <f t="shared" si="29"/>
        <v>70000</v>
      </c>
      <c r="AM173" s="59"/>
      <c r="AN173" s="59"/>
      <c r="AO173" s="59">
        <v>70000</v>
      </c>
      <c r="AP173" s="86"/>
      <c r="AQ173" s="59"/>
      <c r="AS173" s="1">
        <f t="shared" si="30"/>
        <v>70000</v>
      </c>
    </row>
    <row r="174" spans="1:45" s="142" customFormat="1" ht="11.25">
      <c r="A174" s="123"/>
      <c r="B174" s="305"/>
      <c r="C174" s="103" t="s">
        <v>303</v>
      </c>
      <c r="D174" s="8">
        <v>4264911</v>
      </c>
      <c r="E174" s="19" t="s">
        <v>304</v>
      </c>
      <c r="F174" s="59">
        <f t="shared" si="25"/>
        <v>250000</v>
      </c>
      <c r="G174" s="59"/>
      <c r="H174" s="59"/>
      <c r="I174" s="59">
        <v>250000</v>
      </c>
      <c r="J174" s="86"/>
      <c r="K174" s="59"/>
      <c r="N174" s="2">
        <f t="shared" si="31"/>
        <v>208333.33333333334</v>
      </c>
      <c r="AL174" s="59">
        <f t="shared" si="29"/>
        <v>54000</v>
      </c>
      <c r="AM174" s="59"/>
      <c r="AN174" s="59"/>
      <c r="AO174" s="59">
        <v>54000</v>
      </c>
      <c r="AP174" s="86"/>
      <c r="AQ174" s="59"/>
      <c r="AS174" s="1">
        <f t="shared" si="30"/>
        <v>54000</v>
      </c>
    </row>
    <row r="175" spans="1:45" s="142" customFormat="1" ht="11.25">
      <c r="A175" s="123"/>
      <c r="B175" s="305"/>
      <c r="C175" s="103" t="s">
        <v>305</v>
      </c>
      <c r="D175" s="8">
        <v>4264912</v>
      </c>
      <c r="E175" s="19" t="s">
        <v>306</v>
      </c>
      <c r="F175" s="59">
        <f t="shared" si="25"/>
        <v>150000</v>
      </c>
      <c r="G175" s="59"/>
      <c r="H175" s="59"/>
      <c r="I175" s="59">
        <v>100000</v>
      </c>
      <c r="J175" s="86"/>
      <c r="K175" s="59">
        <v>50000</v>
      </c>
      <c r="N175" s="2">
        <f t="shared" si="31"/>
        <v>83333.33333333334</v>
      </c>
      <c r="AL175" s="59">
        <f t="shared" si="29"/>
        <v>120000</v>
      </c>
      <c r="AM175" s="59"/>
      <c r="AN175" s="59"/>
      <c r="AO175" s="59">
        <v>120000</v>
      </c>
      <c r="AP175" s="86"/>
      <c r="AQ175" s="59"/>
      <c r="AS175" s="1">
        <f t="shared" si="30"/>
        <v>120000</v>
      </c>
    </row>
    <row r="176" spans="1:45" s="142" customFormat="1" ht="11.25">
      <c r="A176" s="123"/>
      <c r="B176" s="93"/>
      <c r="C176" s="102" t="s">
        <v>307</v>
      </c>
      <c r="D176" s="11">
        <v>426700</v>
      </c>
      <c r="E176" s="122" t="s">
        <v>308</v>
      </c>
      <c r="F176" s="61">
        <f t="shared" si="25"/>
        <v>33224000</v>
      </c>
      <c r="G176" s="61"/>
      <c r="H176" s="61"/>
      <c r="I176" s="140">
        <f>+I177+I183+I184+I189</f>
        <v>32054000</v>
      </c>
      <c r="J176" s="140">
        <f>+J177+J183+J184+J189</f>
        <v>0</v>
      </c>
      <c r="K176" s="140">
        <f>+K177+K183+K184+K189</f>
        <v>1170000</v>
      </c>
      <c r="N176" s="2">
        <f t="shared" si="31"/>
        <v>26711666.666666668</v>
      </c>
      <c r="AL176" s="59">
        <f t="shared" si="29"/>
        <v>19178900</v>
      </c>
      <c r="AM176" s="61"/>
      <c r="AN176" s="61"/>
      <c r="AO176" s="140">
        <f>+AO177+AO183+AO184+AO189</f>
        <v>17462900</v>
      </c>
      <c r="AP176" s="140">
        <f>+AP177+AP183+AP184+AP189</f>
        <v>50000</v>
      </c>
      <c r="AQ176" s="140">
        <f>+AQ177+AQ183+AQ184+AQ189</f>
        <v>1666000</v>
      </c>
      <c r="AS176" s="1">
        <f t="shared" si="30"/>
        <v>17512900</v>
      </c>
    </row>
    <row r="177" spans="1:45" s="142" customFormat="1" ht="11.25">
      <c r="A177" s="123"/>
      <c r="B177" s="93"/>
      <c r="C177" s="102" t="s">
        <v>309</v>
      </c>
      <c r="D177" s="11">
        <v>426710</v>
      </c>
      <c r="E177" s="122" t="s">
        <v>310</v>
      </c>
      <c r="F177" s="61">
        <f t="shared" si="25"/>
        <v>3713000</v>
      </c>
      <c r="G177" s="61"/>
      <c r="H177" s="61"/>
      <c r="I177" s="61">
        <f>+I178+I179+I180+I181+I182</f>
        <v>3713000</v>
      </c>
      <c r="J177" s="86"/>
      <c r="K177" s="59"/>
      <c r="N177" s="2">
        <f t="shared" si="31"/>
        <v>3094166.666666667</v>
      </c>
      <c r="AL177" s="61">
        <f t="shared" si="29"/>
        <v>3915300</v>
      </c>
      <c r="AM177" s="61"/>
      <c r="AN177" s="61"/>
      <c r="AO177" s="61">
        <f>+AO178+AO179+AO180+AO181+AO182</f>
        <v>3915300</v>
      </c>
      <c r="AP177" s="86"/>
      <c r="AQ177" s="59"/>
      <c r="AS177" s="1">
        <f t="shared" si="30"/>
        <v>3915300</v>
      </c>
    </row>
    <row r="178" spans="1:45" s="142" customFormat="1" ht="11.25">
      <c r="A178" s="123"/>
      <c r="B178" s="305"/>
      <c r="C178" s="103" t="s">
        <v>311</v>
      </c>
      <c r="D178" s="8">
        <v>426711</v>
      </c>
      <c r="E178" s="19" t="s">
        <v>312</v>
      </c>
      <c r="F178" s="59">
        <f t="shared" si="25"/>
        <v>3498000</v>
      </c>
      <c r="G178" s="59"/>
      <c r="H178" s="59"/>
      <c r="I178" s="59">
        <v>3348000</v>
      </c>
      <c r="J178" s="86"/>
      <c r="K178" s="59">
        <v>150000</v>
      </c>
      <c r="N178" s="2">
        <f t="shared" si="31"/>
        <v>2790000</v>
      </c>
      <c r="AL178" s="59">
        <f t="shared" si="29"/>
        <v>3810800</v>
      </c>
      <c r="AM178" s="59"/>
      <c r="AN178" s="59"/>
      <c r="AO178" s="59">
        <v>3400800</v>
      </c>
      <c r="AP178" s="86"/>
      <c r="AQ178" s="59">
        <v>410000</v>
      </c>
      <c r="AS178" s="1">
        <f t="shared" si="30"/>
        <v>3400800</v>
      </c>
    </row>
    <row r="179" spans="1:45" s="142" customFormat="1" ht="11.25">
      <c r="A179" s="123"/>
      <c r="B179" s="305"/>
      <c r="C179" s="103" t="s">
        <v>313</v>
      </c>
      <c r="D179" s="8">
        <v>42671102</v>
      </c>
      <c r="E179" s="19" t="s">
        <v>314</v>
      </c>
      <c r="F179" s="59">
        <f t="shared" si="25"/>
        <v>80000</v>
      </c>
      <c r="G179" s="59"/>
      <c r="H179" s="59"/>
      <c r="I179" s="59">
        <v>40000</v>
      </c>
      <c r="J179" s="86"/>
      <c r="K179" s="59">
        <v>40000</v>
      </c>
      <c r="N179" s="2">
        <f t="shared" si="31"/>
        <v>33333.333333333336</v>
      </c>
      <c r="AL179" s="59">
        <f t="shared" si="29"/>
        <v>38500</v>
      </c>
      <c r="AM179" s="59"/>
      <c r="AN179" s="59"/>
      <c r="AO179" s="59">
        <v>38500</v>
      </c>
      <c r="AP179" s="86"/>
      <c r="AQ179" s="59"/>
      <c r="AS179" s="1">
        <f t="shared" si="30"/>
        <v>38500</v>
      </c>
    </row>
    <row r="180" spans="1:45" s="142" customFormat="1" ht="11.25">
      <c r="A180" s="123"/>
      <c r="B180" s="305"/>
      <c r="C180" s="103" t="s">
        <v>315</v>
      </c>
      <c r="D180" s="8">
        <v>42671103</v>
      </c>
      <c r="E180" s="19" t="s">
        <v>316</v>
      </c>
      <c r="F180" s="59">
        <f t="shared" si="25"/>
        <v>200000</v>
      </c>
      <c r="G180" s="59"/>
      <c r="H180" s="59"/>
      <c r="I180" s="59">
        <v>200000</v>
      </c>
      <c r="J180" s="86"/>
      <c r="K180" s="59"/>
      <c r="N180" s="2">
        <f t="shared" si="31"/>
        <v>166666.6666666667</v>
      </c>
      <c r="AL180" s="59">
        <f t="shared" si="29"/>
        <v>271000</v>
      </c>
      <c r="AM180" s="59"/>
      <c r="AN180" s="59"/>
      <c r="AO180" s="59">
        <v>271000</v>
      </c>
      <c r="AP180" s="86"/>
      <c r="AQ180" s="59"/>
      <c r="AS180" s="1">
        <f t="shared" si="30"/>
        <v>271000</v>
      </c>
    </row>
    <row r="181" spans="1:45" s="142" customFormat="1" ht="11.25">
      <c r="A181" s="123"/>
      <c r="B181" s="305"/>
      <c r="C181" s="103" t="s">
        <v>317</v>
      </c>
      <c r="D181" s="8">
        <v>42671105</v>
      </c>
      <c r="E181" s="19" t="s">
        <v>318</v>
      </c>
      <c r="F181" s="59">
        <f t="shared" si="25"/>
        <v>60000</v>
      </c>
      <c r="G181" s="59"/>
      <c r="H181" s="59"/>
      <c r="I181" s="59">
        <v>60000</v>
      </c>
      <c r="J181" s="86"/>
      <c r="K181" s="59"/>
      <c r="N181" s="2">
        <f t="shared" si="31"/>
        <v>50000</v>
      </c>
      <c r="AL181" s="59">
        <f t="shared" si="29"/>
        <v>115000</v>
      </c>
      <c r="AM181" s="59"/>
      <c r="AN181" s="59"/>
      <c r="AO181" s="59">
        <v>115000</v>
      </c>
      <c r="AP181" s="86"/>
      <c r="AQ181" s="59"/>
      <c r="AS181" s="1">
        <f t="shared" si="30"/>
        <v>115000</v>
      </c>
    </row>
    <row r="182" spans="1:45" s="142" customFormat="1" ht="11.25">
      <c r="A182" s="123"/>
      <c r="B182" s="114"/>
      <c r="C182" s="103" t="s">
        <v>319</v>
      </c>
      <c r="D182" s="8">
        <v>42671107</v>
      </c>
      <c r="E182" s="19" t="s">
        <v>320</v>
      </c>
      <c r="F182" s="59">
        <f t="shared" si="25"/>
        <v>65000</v>
      </c>
      <c r="G182" s="59"/>
      <c r="H182" s="59"/>
      <c r="I182" s="59">
        <v>65000</v>
      </c>
      <c r="J182" s="86"/>
      <c r="K182" s="59"/>
      <c r="N182" s="2"/>
      <c r="AL182" s="59">
        <f t="shared" si="29"/>
        <v>90000</v>
      </c>
      <c r="AM182" s="59"/>
      <c r="AN182" s="59"/>
      <c r="AO182" s="59">
        <v>90000</v>
      </c>
      <c r="AP182" s="86"/>
      <c r="AQ182" s="59"/>
      <c r="AS182" s="1">
        <f t="shared" si="30"/>
        <v>90000</v>
      </c>
    </row>
    <row r="183" spans="1:45" s="142" customFormat="1" ht="11.25">
      <c r="A183" s="123"/>
      <c r="B183" s="93"/>
      <c r="C183" s="102" t="s">
        <v>321</v>
      </c>
      <c r="D183" s="11">
        <v>426721</v>
      </c>
      <c r="E183" s="122" t="s">
        <v>322</v>
      </c>
      <c r="F183" s="61">
        <f t="shared" si="25"/>
        <v>4505000</v>
      </c>
      <c r="G183" s="61"/>
      <c r="H183" s="61"/>
      <c r="I183" s="59">
        <v>4405000</v>
      </c>
      <c r="J183" s="99"/>
      <c r="K183" s="61">
        <v>100000</v>
      </c>
      <c r="N183" s="2">
        <f aca="true" t="shared" si="32" ref="N183:N189">+I183/1.2</f>
        <v>3670833.3333333335</v>
      </c>
      <c r="AL183" s="61">
        <f t="shared" si="29"/>
        <v>4267700</v>
      </c>
      <c r="AM183" s="61"/>
      <c r="AN183" s="61"/>
      <c r="AO183" s="61">
        <v>3717700</v>
      </c>
      <c r="AP183" s="99">
        <v>50000</v>
      </c>
      <c r="AQ183" s="61">
        <v>500000</v>
      </c>
      <c r="AS183" s="1">
        <f t="shared" si="30"/>
        <v>3767700</v>
      </c>
    </row>
    <row r="184" spans="1:45" s="142" customFormat="1" ht="11.25">
      <c r="A184" s="123"/>
      <c r="B184" s="4"/>
      <c r="C184" s="102" t="s">
        <v>323</v>
      </c>
      <c r="D184" s="11">
        <v>426750</v>
      </c>
      <c r="E184" s="122" t="s">
        <v>324</v>
      </c>
      <c r="F184" s="61">
        <f t="shared" si="25"/>
        <v>11963000</v>
      </c>
      <c r="G184" s="17">
        <f>+G185+G186+G187</f>
        <v>0</v>
      </c>
      <c r="H184" s="17">
        <f>+H185+H186+H187</f>
        <v>0</v>
      </c>
      <c r="I184" s="146">
        <f>+I185+I186+I187+I188</f>
        <v>10963000</v>
      </c>
      <c r="J184" s="147">
        <f>+J185+J186+J187</f>
        <v>0</v>
      </c>
      <c r="K184" s="146">
        <f>+K185+K186+K187</f>
        <v>1000000</v>
      </c>
      <c r="N184" s="2">
        <f t="shared" si="32"/>
        <v>9135833.333333334</v>
      </c>
      <c r="AL184" s="61">
        <f t="shared" si="29"/>
        <v>9682000</v>
      </c>
      <c r="AM184" s="17">
        <f>+AM185+AM186+AM187</f>
        <v>0</v>
      </c>
      <c r="AN184" s="17">
        <f>+AN185+AN186+AN187</f>
        <v>0</v>
      </c>
      <c r="AO184" s="146">
        <f>+AO185+AO186+AO187+AO188</f>
        <v>8646000</v>
      </c>
      <c r="AP184" s="147">
        <f>+AP185+AP186+AP187</f>
        <v>0</v>
      </c>
      <c r="AQ184" s="146">
        <f>+AQ185+AQ186+AQ187</f>
        <v>1036000</v>
      </c>
      <c r="AS184" s="1">
        <f t="shared" si="30"/>
        <v>8646000</v>
      </c>
    </row>
    <row r="185" spans="1:45" s="142" customFormat="1" ht="11.25">
      <c r="A185" s="123"/>
      <c r="B185" s="306"/>
      <c r="C185" s="103" t="s">
        <v>325</v>
      </c>
      <c r="D185" s="8">
        <v>426751</v>
      </c>
      <c r="E185" s="19" t="s">
        <v>326</v>
      </c>
      <c r="F185" s="59">
        <f t="shared" si="25"/>
        <v>8250000</v>
      </c>
      <c r="G185" s="59"/>
      <c r="H185" s="59"/>
      <c r="I185" s="59">
        <v>7250000</v>
      </c>
      <c r="J185" s="86"/>
      <c r="K185" s="59">
        <v>1000000</v>
      </c>
      <c r="N185" s="2">
        <f t="shared" si="32"/>
        <v>6041666.666666667</v>
      </c>
      <c r="AL185" s="59">
        <f t="shared" si="29"/>
        <v>8740863</v>
      </c>
      <c r="AM185" s="59"/>
      <c r="AN185" s="59"/>
      <c r="AO185" s="59">
        <v>7704863</v>
      </c>
      <c r="AP185" s="86"/>
      <c r="AQ185" s="59">
        <v>1036000</v>
      </c>
      <c r="AS185" s="1">
        <f t="shared" si="30"/>
        <v>7704863</v>
      </c>
    </row>
    <row r="186" spans="1:45" s="142" customFormat="1" ht="11.25">
      <c r="A186" s="123"/>
      <c r="B186" s="306"/>
      <c r="C186" s="103" t="s">
        <v>327</v>
      </c>
      <c r="D186" s="8">
        <v>42675103</v>
      </c>
      <c r="E186" s="19" t="s">
        <v>328</v>
      </c>
      <c r="F186" s="59">
        <f aca="true" t="shared" si="33" ref="F186:F217">+G186+H186+I186+J186+K186</f>
        <v>1933000</v>
      </c>
      <c r="G186" s="59"/>
      <c r="H186" s="59"/>
      <c r="I186" s="59">
        <v>1933000</v>
      </c>
      <c r="J186" s="86"/>
      <c r="K186" s="59"/>
      <c r="N186" s="2">
        <f t="shared" si="32"/>
        <v>1610833.3333333335</v>
      </c>
      <c r="AL186" s="59">
        <f t="shared" si="29"/>
        <v>572</v>
      </c>
      <c r="AM186" s="59"/>
      <c r="AN186" s="59"/>
      <c r="AO186" s="59">
        <v>572</v>
      </c>
      <c r="AP186" s="86"/>
      <c r="AQ186" s="59"/>
      <c r="AS186" s="1">
        <f t="shared" si="30"/>
        <v>572</v>
      </c>
    </row>
    <row r="187" spans="1:45" s="142" customFormat="1" ht="11.25">
      <c r="A187" s="123"/>
      <c r="B187" s="109"/>
      <c r="C187" s="103" t="s">
        <v>329</v>
      </c>
      <c r="D187" s="8">
        <v>42675108</v>
      </c>
      <c r="E187" s="19" t="s">
        <v>330</v>
      </c>
      <c r="F187" s="59">
        <f t="shared" si="33"/>
        <v>1780000</v>
      </c>
      <c r="G187" s="59"/>
      <c r="H187" s="59"/>
      <c r="I187" s="59">
        <v>1780000</v>
      </c>
      <c r="J187" s="86"/>
      <c r="K187" s="59"/>
      <c r="N187" s="2">
        <f t="shared" si="32"/>
        <v>1483333.3333333335</v>
      </c>
      <c r="AL187" s="59">
        <f t="shared" si="29"/>
        <v>940565</v>
      </c>
      <c r="AM187" s="59"/>
      <c r="AN187" s="59"/>
      <c r="AO187" s="59">
        <v>940565</v>
      </c>
      <c r="AP187" s="86"/>
      <c r="AQ187" s="59"/>
      <c r="AS187" s="1">
        <f t="shared" si="30"/>
        <v>940565</v>
      </c>
    </row>
    <row r="188" spans="1:45" s="142" customFormat="1" ht="11.25" hidden="1">
      <c r="A188" s="123"/>
      <c r="B188" s="109"/>
      <c r="C188" s="103" t="s">
        <v>331</v>
      </c>
      <c r="D188" s="8">
        <v>42675103</v>
      </c>
      <c r="E188" s="19" t="s">
        <v>332</v>
      </c>
      <c r="F188" s="59">
        <f t="shared" si="33"/>
        <v>0</v>
      </c>
      <c r="G188" s="59"/>
      <c r="H188" s="59"/>
      <c r="I188" s="59">
        <v>0</v>
      </c>
      <c r="J188" s="86"/>
      <c r="K188" s="59"/>
      <c r="N188" s="2">
        <f t="shared" si="32"/>
        <v>0</v>
      </c>
      <c r="AL188" s="59">
        <f t="shared" si="29"/>
        <v>0</v>
      </c>
      <c r="AM188" s="59"/>
      <c r="AN188" s="59"/>
      <c r="AO188" s="59">
        <v>0</v>
      </c>
      <c r="AP188" s="86"/>
      <c r="AQ188" s="59"/>
      <c r="AS188" s="1">
        <f t="shared" si="30"/>
        <v>0</v>
      </c>
    </row>
    <row r="189" spans="1:45" s="142" customFormat="1" ht="11.25">
      <c r="A189" s="123"/>
      <c r="B189" s="109"/>
      <c r="C189" s="102" t="s">
        <v>333</v>
      </c>
      <c r="D189" s="11">
        <v>426790</v>
      </c>
      <c r="E189" s="122" t="s">
        <v>334</v>
      </c>
      <c r="F189" s="61">
        <f t="shared" si="33"/>
        <v>13043000</v>
      </c>
      <c r="G189" s="61"/>
      <c r="H189" s="61"/>
      <c r="I189" s="61">
        <f>I191+I192+I190</f>
        <v>12973000</v>
      </c>
      <c r="J189" s="61">
        <f>+J191+J192</f>
        <v>0</v>
      </c>
      <c r="K189" s="61">
        <f>+K191+K192</f>
        <v>70000</v>
      </c>
      <c r="N189" s="2">
        <f t="shared" si="32"/>
        <v>10810833.333333334</v>
      </c>
      <c r="AL189" s="61">
        <f t="shared" si="29"/>
        <v>1313900</v>
      </c>
      <c r="AM189" s="61"/>
      <c r="AN189" s="61"/>
      <c r="AO189" s="61">
        <f>+AO191+AO192</f>
        <v>1183900</v>
      </c>
      <c r="AP189" s="61">
        <f>+AP191+AP192</f>
        <v>0</v>
      </c>
      <c r="AQ189" s="61">
        <f>+AQ191+AQ192</f>
        <v>130000</v>
      </c>
      <c r="AS189" s="1">
        <f t="shared" si="30"/>
        <v>1183900</v>
      </c>
    </row>
    <row r="190" spans="1:45" s="142" customFormat="1" ht="11.25">
      <c r="A190" s="123"/>
      <c r="B190" s="109"/>
      <c r="C190" s="103" t="s">
        <v>309</v>
      </c>
      <c r="D190" s="8">
        <v>42679103</v>
      </c>
      <c r="E190" s="19" t="s">
        <v>335</v>
      </c>
      <c r="F190" s="59">
        <f t="shared" si="33"/>
        <v>11579000</v>
      </c>
      <c r="G190" s="61"/>
      <c r="H190" s="61"/>
      <c r="I190" s="59">
        <v>11579000</v>
      </c>
      <c r="J190" s="61"/>
      <c r="K190" s="61"/>
      <c r="N190" s="2"/>
      <c r="AL190" s="61"/>
      <c r="AM190" s="61"/>
      <c r="AN190" s="61"/>
      <c r="AO190" s="61"/>
      <c r="AP190" s="61"/>
      <c r="AQ190" s="61"/>
      <c r="AS190" s="1"/>
    </row>
    <row r="191" spans="1:45" s="142" customFormat="1" ht="11.25">
      <c r="A191" s="123"/>
      <c r="B191" s="109"/>
      <c r="C191" s="103" t="s">
        <v>336</v>
      </c>
      <c r="D191" s="8">
        <v>42679104</v>
      </c>
      <c r="E191" s="19" t="s">
        <v>337</v>
      </c>
      <c r="F191" s="59">
        <f t="shared" si="33"/>
        <v>600000</v>
      </c>
      <c r="G191" s="59"/>
      <c r="H191" s="59"/>
      <c r="I191" s="59">
        <v>600000</v>
      </c>
      <c r="J191" s="86"/>
      <c r="K191" s="59"/>
      <c r="N191" s="2">
        <f>+I191/1.2</f>
        <v>500000</v>
      </c>
      <c r="AL191" s="59">
        <f aca="true" t="shared" si="34" ref="AL191:AL216">+AM191+AN191+AO191+AP191+AQ191</f>
        <v>590000</v>
      </c>
      <c r="AM191" s="59"/>
      <c r="AN191" s="59"/>
      <c r="AO191" s="59">
        <v>500000</v>
      </c>
      <c r="AP191" s="86"/>
      <c r="AQ191" s="59">
        <v>90000</v>
      </c>
      <c r="AS191" s="1">
        <f aca="true" t="shared" si="35" ref="AS191:AS216">AL191-AN191-AQ191</f>
        <v>500000</v>
      </c>
    </row>
    <row r="192" spans="1:45" s="142" customFormat="1" ht="11.25">
      <c r="A192" s="123"/>
      <c r="B192" s="109"/>
      <c r="C192" s="103" t="s">
        <v>338</v>
      </c>
      <c r="D192" s="8">
        <v>42679128</v>
      </c>
      <c r="E192" s="19" t="s">
        <v>339</v>
      </c>
      <c r="F192" s="59">
        <f t="shared" si="33"/>
        <v>864000</v>
      </c>
      <c r="G192" s="59"/>
      <c r="H192" s="59"/>
      <c r="I192" s="59">
        <v>794000</v>
      </c>
      <c r="J192" s="86"/>
      <c r="K192" s="113">
        <v>70000</v>
      </c>
      <c r="N192" s="2">
        <f>+F192/1.2</f>
        <v>720000</v>
      </c>
      <c r="AL192" s="59">
        <f t="shared" si="34"/>
        <v>723900</v>
      </c>
      <c r="AM192" s="59"/>
      <c r="AN192" s="59"/>
      <c r="AO192" s="59">
        <v>683900</v>
      </c>
      <c r="AP192" s="86"/>
      <c r="AQ192" s="113">
        <v>40000</v>
      </c>
      <c r="AS192" s="1">
        <f t="shared" si="35"/>
        <v>683900</v>
      </c>
    </row>
    <row r="193" spans="1:45" s="142" customFormat="1" ht="11.25">
      <c r="A193" s="123"/>
      <c r="B193" s="93"/>
      <c r="C193" s="102" t="s">
        <v>340</v>
      </c>
      <c r="D193" s="11">
        <v>426800</v>
      </c>
      <c r="E193" s="122" t="s">
        <v>341</v>
      </c>
      <c r="F193" s="61">
        <f t="shared" si="33"/>
        <v>2831000</v>
      </c>
      <c r="G193" s="17">
        <f>+G194+G195+G196+G197+G198+G199+G200</f>
        <v>0</v>
      </c>
      <c r="H193" s="17">
        <f>+H194+H195+H196+H197+H198+H199+H200</f>
        <v>0</v>
      </c>
      <c r="I193" s="140">
        <f>+I194+I196+I199+I198+I197+I195+I200</f>
        <v>2681000</v>
      </c>
      <c r="J193" s="141">
        <f>+J194+J196+J199+J198+J197+J195+J200</f>
        <v>0</v>
      </c>
      <c r="K193" s="140">
        <f>+K194+K196+K199+K198+K197+K195+K200</f>
        <v>150000</v>
      </c>
      <c r="N193" s="2">
        <f aca="true" t="shared" si="36" ref="N193:N216">+I193/1.2</f>
        <v>2234166.666666667</v>
      </c>
      <c r="AL193" s="61">
        <f t="shared" si="34"/>
        <v>2256500</v>
      </c>
      <c r="AM193" s="17">
        <f>+AM194+AM195+AM196+AM197+AM198+AM199+AM200</f>
        <v>0</v>
      </c>
      <c r="AN193" s="17">
        <f>+AN194+AN195+AN196+AN197+AN198+AN199+AN200</f>
        <v>0</v>
      </c>
      <c r="AO193" s="140">
        <f>+AO194+AO196+AO199+AO198+AO197+AO195+AO200</f>
        <v>2048000</v>
      </c>
      <c r="AP193" s="141">
        <f>+AP194+AP196+AP199+AP198+AP197+AP195+AP200</f>
        <v>0</v>
      </c>
      <c r="AQ193" s="140">
        <f>+AQ194+AQ196+AQ199+AQ198+AQ197+AQ195+AQ200</f>
        <v>208500</v>
      </c>
      <c r="AS193" s="1">
        <f t="shared" si="35"/>
        <v>2048000</v>
      </c>
    </row>
    <row r="194" spans="1:45" s="142" customFormat="1" ht="11.25">
      <c r="A194" s="123"/>
      <c r="B194" s="306"/>
      <c r="C194" s="103" t="s">
        <v>342</v>
      </c>
      <c r="D194" s="8">
        <v>426811</v>
      </c>
      <c r="E194" s="19" t="s">
        <v>343</v>
      </c>
      <c r="F194" s="59">
        <f t="shared" si="33"/>
        <v>790000</v>
      </c>
      <c r="G194" s="59"/>
      <c r="H194" s="59"/>
      <c r="I194" s="59">
        <v>790000</v>
      </c>
      <c r="J194" s="86"/>
      <c r="K194" s="59"/>
      <c r="N194" s="2">
        <f t="shared" si="36"/>
        <v>658333.3333333334</v>
      </c>
      <c r="AL194" s="59">
        <f t="shared" si="34"/>
        <v>475000</v>
      </c>
      <c r="AM194" s="59"/>
      <c r="AN194" s="59"/>
      <c r="AO194" s="59">
        <v>475000</v>
      </c>
      <c r="AP194" s="86"/>
      <c r="AQ194" s="59"/>
      <c r="AS194" s="1">
        <f t="shared" si="35"/>
        <v>475000</v>
      </c>
    </row>
    <row r="195" spans="1:45" s="142" customFormat="1" ht="11.25">
      <c r="A195" s="123"/>
      <c r="B195" s="306"/>
      <c r="C195" s="103" t="s">
        <v>344</v>
      </c>
      <c r="D195" s="8">
        <v>42681101</v>
      </c>
      <c r="E195" s="19" t="s">
        <v>345</v>
      </c>
      <c r="F195" s="59">
        <f t="shared" si="33"/>
        <v>200000</v>
      </c>
      <c r="G195" s="59"/>
      <c r="H195" s="59"/>
      <c r="I195" s="59">
        <v>200000</v>
      </c>
      <c r="J195" s="86"/>
      <c r="K195" s="59"/>
      <c r="N195" s="2">
        <f t="shared" si="36"/>
        <v>166666.6666666667</v>
      </c>
      <c r="AL195" s="59">
        <f t="shared" si="34"/>
        <v>154000</v>
      </c>
      <c r="AM195" s="59"/>
      <c r="AN195" s="59"/>
      <c r="AO195" s="59">
        <v>154000</v>
      </c>
      <c r="AP195" s="86"/>
      <c r="AQ195" s="59"/>
      <c r="AS195" s="1">
        <f t="shared" si="35"/>
        <v>154000</v>
      </c>
    </row>
    <row r="196" spans="1:45" s="142" customFormat="1" ht="11.25">
      <c r="A196" s="123"/>
      <c r="B196" s="306"/>
      <c r="C196" s="103" t="s">
        <v>346</v>
      </c>
      <c r="D196" s="8">
        <v>426823</v>
      </c>
      <c r="E196" s="19" t="s">
        <v>347</v>
      </c>
      <c r="F196" s="59">
        <f t="shared" si="33"/>
        <v>1165000</v>
      </c>
      <c r="G196" s="59"/>
      <c r="H196" s="59"/>
      <c r="I196" s="59">
        <v>1075000</v>
      </c>
      <c r="J196" s="86"/>
      <c r="K196" s="59">
        <v>90000</v>
      </c>
      <c r="N196" s="2">
        <f t="shared" si="36"/>
        <v>895833.3333333334</v>
      </c>
      <c r="AL196" s="59">
        <f t="shared" si="34"/>
        <v>1068000</v>
      </c>
      <c r="AM196" s="59"/>
      <c r="AN196" s="59"/>
      <c r="AO196" s="59">
        <v>950000</v>
      </c>
      <c r="AP196" s="86"/>
      <c r="AQ196" s="59">
        <v>118000</v>
      </c>
      <c r="AS196" s="1">
        <f t="shared" si="35"/>
        <v>950000</v>
      </c>
    </row>
    <row r="197" spans="1:45" s="142" customFormat="1" ht="11.25">
      <c r="A197" s="123"/>
      <c r="B197" s="306"/>
      <c r="C197" s="103" t="s">
        <v>348</v>
      </c>
      <c r="D197" s="8">
        <v>42682301</v>
      </c>
      <c r="E197" s="19" t="s">
        <v>349</v>
      </c>
      <c r="F197" s="59">
        <f t="shared" si="33"/>
        <v>621000</v>
      </c>
      <c r="G197" s="59"/>
      <c r="H197" s="59"/>
      <c r="I197" s="59">
        <v>561000</v>
      </c>
      <c r="J197" s="86"/>
      <c r="K197" s="59">
        <v>60000</v>
      </c>
      <c r="N197" s="2">
        <f t="shared" si="36"/>
        <v>467500</v>
      </c>
      <c r="AL197" s="59">
        <f t="shared" si="34"/>
        <v>469500</v>
      </c>
      <c r="AM197" s="59"/>
      <c r="AN197" s="59"/>
      <c r="AO197" s="59">
        <v>379000</v>
      </c>
      <c r="AP197" s="86"/>
      <c r="AQ197" s="59">
        <v>90500</v>
      </c>
      <c r="AS197" s="1">
        <f t="shared" si="35"/>
        <v>379000</v>
      </c>
    </row>
    <row r="198" spans="1:45" s="142" customFormat="1" ht="11.25">
      <c r="A198" s="123"/>
      <c r="B198" s="306"/>
      <c r="C198" s="103" t="s">
        <v>350</v>
      </c>
      <c r="D198" s="8">
        <v>4268292</v>
      </c>
      <c r="E198" s="19" t="s">
        <v>351</v>
      </c>
      <c r="F198" s="59">
        <f t="shared" si="33"/>
        <v>50000</v>
      </c>
      <c r="G198" s="59"/>
      <c r="H198" s="59"/>
      <c r="I198" s="59">
        <v>50000</v>
      </c>
      <c r="J198" s="86"/>
      <c r="K198" s="59"/>
      <c r="N198" s="2">
        <f t="shared" si="36"/>
        <v>41666.66666666667</v>
      </c>
      <c r="AL198" s="59">
        <f t="shared" si="34"/>
        <v>80000</v>
      </c>
      <c r="AM198" s="59"/>
      <c r="AN198" s="59"/>
      <c r="AO198" s="59">
        <v>80000</v>
      </c>
      <c r="AP198" s="86"/>
      <c r="AQ198" s="59"/>
      <c r="AS198" s="1">
        <f t="shared" si="35"/>
        <v>80000</v>
      </c>
    </row>
    <row r="199" spans="1:45" s="142" customFormat="1" ht="11.25">
      <c r="A199" s="123"/>
      <c r="B199" s="306"/>
      <c r="C199" s="103" t="s">
        <v>352</v>
      </c>
      <c r="D199" s="8">
        <v>426812</v>
      </c>
      <c r="E199" s="19" t="s">
        <v>353</v>
      </c>
      <c r="F199" s="59">
        <f t="shared" si="33"/>
        <v>5000</v>
      </c>
      <c r="G199" s="59"/>
      <c r="H199" s="59"/>
      <c r="I199" s="59">
        <v>5000</v>
      </c>
      <c r="J199" s="86"/>
      <c r="K199" s="59"/>
      <c r="N199" s="2">
        <f t="shared" si="36"/>
        <v>4166.666666666667</v>
      </c>
      <c r="AL199" s="59">
        <f t="shared" si="34"/>
        <v>10000</v>
      </c>
      <c r="AM199" s="59"/>
      <c r="AN199" s="59"/>
      <c r="AO199" s="59">
        <v>10000</v>
      </c>
      <c r="AP199" s="86"/>
      <c r="AQ199" s="59"/>
      <c r="AS199" s="1">
        <f t="shared" si="35"/>
        <v>10000</v>
      </c>
    </row>
    <row r="200" spans="1:45" s="142" customFormat="1" ht="11.25" hidden="1">
      <c r="A200" s="123"/>
      <c r="B200" s="306"/>
      <c r="C200" s="103" t="s">
        <v>354</v>
      </c>
      <c r="D200" s="8">
        <v>4268291</v>
      </c>
      <c r="E200" s="19" t="s">
        <v>286</v>
      </c>
      <c r="F200" s="59">
        <f t="shared" si="33"/>
        <v>0</v>
      </c>
      <c r="G200" s="59"/>
      <c r="H200" s="59"/>
      <c r="I200" s="59"/>
      <c r="J200" s="86"/>
      <c r="K200" s="59"/>
      <c r="N200" s="2">
        <f t="shared" si="36"/>
        <v>0</v>
      </c>
      <c r="AL200" s="59">
        <f t="shared" si="34"/>
        <v>0</v>
      </c>
      <c r="AM200" s="59"/>
      <c r="AN200" s="59"/>
      <c r="AO200" s="59"/>
      <c r="AP200" s="86"/>
      <c r="AQ200" s="59"/>
      <c r="AS200" s="1">
        <f t="shared" si="35"/>
        <v>0</v>
      </c>
    </row>
    <row r="201" spans="1:45" s="142" customFormat="1" ht="11.25">
      <c r="A201" s="123"/>
      <c r="B201" s="93"/>
      <c r="C201" s="102" t="s">
        <v>355</v>
      </c>
      <c r="D201" s="11">
        <v>426900</v>
      </c>
      <c r="E201" s="122" t="s">
        <v>356</v>
      </c>
      <c r="F201" s="61">
        <f t="shared" si="33"/>
        <v>490000</v>
      </c>
      <c r="G201" s="17">
        <f>+G202+G203+G204+G205+G206</f>
        <v>0</v>
      </c>
      <c r="H201" s="17">
        <f>+H202+H203+H204+H205+H206</f>
        <v>0</v>
      </c>
      <c r="I201" s="140">
        <f>+I202+I204+I205+I206+I203</f>
        <v>490000</v>
      </c>
      <c r="J201" s="141">
        <f>+J202+J204+J205+J206+J203</f>
        <v>0</v>
      </c>
      <c r="K201" s="140"/>
      <c r="N201" s="2">
        <f t="shared" si="36"/>
        <v>408333.3333333334</v>
      </c>
      <c r="AL201" s="59">
        <f t="shared" si="34"/>
        <v>640400</v>
      </c>
      <c r="AM201" s="17">
        <f>+AM202+AM203+AM204+AM205+AM206</f>
        <v>0</v>
      </c>
      <c r="AN201" s="17">
        <f>+AN202+AN203+AN204+AN205+AN206</f>
        <v>0</v>
      </c>
      <c r="AO201" s="140">
        <f>+AO202+AO204+AO205+AO206+AO203</f>
        <v>640400</v>
      </c>
      <c r="AP201" s="141">
        <f>+AP202+AP204+AP205+AP206+AP203</f>
        <v>0</v>
      </c>
      <c r="AQ201" s="140">
        <f>+AQ202+AQ204+AQ205+AQ206+AQ203</f>
        <v>0</v>
      </c>
      <c r="AS201" s="1">
        <f t="shared" si="35"/>
        <v>640400</v>
      </c>
    </row>
    <row r="202" spans="1:45" s="142" customFormat="1" ht="11.25">
      <c r="A202" s="123"/>
      <c r="B202" s="306"/>
      <c r="C202" s="103" t="s">
        <v>357</v>
      </c>
      <c r="D202" s="124">
        <v>426911</v>
      </c>
      <c r="E202" s="19" t="s">
        <v>358</v>
      </c>
      <c r="F202" s="59">
        <f t="shared" si="33"/>
        <v>0</v>
      </c>
      <c r="G202" s="59"/>
      <c r="H202" s="59"/>
      <c r="I202" s="59"/>
      <c r="J202" s="86"/>
      <c r="K202" s="59"/>
      <c r="N202" s="2">
        <f t="shared" si="36"/>
        <v>0</v>
      </c>
      <c r="AL202" s="59">
        <f t="shared" si="34"/>
        <v>5000</v>
      </c>
      <c r="AM202" s="59"/>
      <c r="AN202" s="59"/>
      <c r="AO202" s="59">
        <v>5000</v>
      </c>
      <c r="AP202" s="86"/>
      <c r="AQ202" s="59"/>
      <c r="AS202" s="1">
        <f t="shared" si="35"/>
        <v>5000</v>
      </c>
    </row>
    <row r="203" spans="1:45" s="142" customFormat="1" ht="11.25">
      <c r="A203" s="123"/>
      <c r="B203" s="306"/>
      <c r="C203" s="103" t="s">
        <v>359</v>
      </c>
      <c r="D203" s="124">
        <v>426912</v>
      </c>
      <c r="E203" s="19" t="s">
        <v>360</v>
      </c>
      <c r="F203" s="59">
        <f t="shared" si="33"/>
        <v>0</v>
      </c>
      <c r="G203" s="59"/>
      <c r="H203" s="59"/>
      <c r="I203" s="59"/>
      <c r="J203" s="86"/>
      <c r="K203" s="59"/>
      <c r="N203" s="2">
        <f t="shared" si="36"/>
        <v>0</v>
      </c>
      <c r="AL203" s="59">
        <f t="shared" si="34"/>
        <v>40000</v>
      </c>
      <c r="AM203" s="59"/>
      <c r="AN203" s="59"/>
      <c r="AO203" s="59">
        <v>40000</v>
      </c>
      <c r="AP203" s="86"/>
      <c r="AQ203" s="59"/>
      <c r="AS203" s="1">
        <f t="shared" si="35"/>
        <v>40000</v>
      </c>
    </row>
    <row r="204" spans="1:45" s="142" customFormat="1" ht="11.25">
      <c r="A204" s="123"/>
      <c r="B204" s="306"/>
      <c r="C204" s="103" t="s">
        <v>361</v>
      </c>
      <c r="D204" s="124">
        <v>4269121</v>
      </c>
      <c r="E204" s="19" t="s">
        <v>362</v>
      </c>
      <c r="F204" s="59">
        <f t="shared" si="33"/>
        <v>0</v>
      </c>
      <c r="G204" s="59"/>
      <c r="H204" s="59"/>
      <c r="I204" s="59"/>
      <c r="J204" s="86"/>
      <c r="K204" s="59"/>
      <c r="N204" s="2">
        <f t="shared" si="36"/>
        <v>0</v>
      </c>
      <c r="AL204" s="59">
        <f t="shared" si="34"/>
        <v>30000</v>
      </c>
      <c r="AM204" s="59"/>
      <c r="AN204" s="59"/>
      <c r="AO204" s="59">
        <v>30000</v>
      </c>
      <c r="AP204" s="86"/>
      <c r="AQ204" s="59"/>
      <c r="AS204" s="1">
        <f t="shared" si="35"/>
        <v>30000</v>
      </c>
    </row>
    <row r="205" spans="1:45" s="142" customFormat="1" ht="11.25">
      <c r="A205" s="123"/>
      <c r="B205" s="306"/>
      <c r="C205" s="103" t="s">
        <v>363</v>
      </c>
      <c r="D205" s="124">
        <v>4269122</v>
      </c>
      <c r="E205" s="19" t="s">
        <v>364</v>
      </c>
      <c r="F205" s="59">
        <f t="shared" si="33"/>
        <v>0</v>
      </c>
      <c r="G205" s="59"/>
      <c r="H205" s="59"/>
      <c r="I205" s="59"/>
      <c r="J205" s="86"/>
      <c r="K205" s="59"/>
      <c r="N205" s="2">
        <f t="shared" si="36"/>
        <v>0</v>
      </c>
      <c r="AL205" s="59">
        <f t="shared" si="34"/>
        <v>3000</v>
      </c>
      <c r="AM205" s="59"/>
      <c r="AN205" s="59"/>
      <c r="AO205" s="59">
        <v>3000</v>
      </c>
      <c r="AP205" s="86"/>
      <c r="AQ205" s="59"/>
      <c r="AS205" s="1">
        <f t="shared" si="35"/>
        <v>3000</v>
      </c>
    </row>
    <row r="206" spans="1:45" s="142" customFormat="1" ht="11.25">
      <c r="A206" s="123"/>
      <c r="B206" s="306"/>
      <c r="C206" s="102" t="s">
        <v>365</v>
      </c>
      <c r="D206" s="11">
        <v>426911</v>
      </c>
      <c r="E206" s="122" t="s">
        <v>358</v>
      </c>
      <c r="F206" s="59">
        <f t="shared" si="33"/>
        <v>490000</v>
      </c>
      <c r="G206" s="17">
        <f>+G207+G208+G209+G210+G211+G212+G213</f>
        <v>0</v>
      </c>
      <c r="H206" s="17">
        <f>+H207+H208+H209+H210+H211+H212+H213</f>
        <v>0</v>
      </c>
      <c r="I206" s="17">
        <f>+I207+I208+I209+I210+I211+I212+I213</f>
        <v>490000</v>
      </c>
      <c r="J206" s="149">
        <f>+J207+J208+J209+J210+J211+J212+J213</f>
        <v>0</v>
      </c>
      <c r="K206" s="17">
        <f>+K207+K208+K209+K210+K211+K212+K213</f>
        <v>0</v>
      </c>
      <c r="N206" s="2">
        <f t="shared" si="36"/>
        <v>408333.3333333334</v>
      </c>
      <c r="AL206" s="61">
        <f t="shared" si="34"/>
        <v>562400</v>
      </c>
      <c r="AM206" s="17">
        <f>+AM207+AM208+AM209+AM210+AM211+AM212+AM213</f>
        <v>0</v>
      </c>
      <c r="AN206" s="17">
        <f>+AN207+AN208+AN209+AN210+AN211+AN212+AN213</f>
        <v>0</v>
      </c>
      <c r="AO206" s="17">
        <f>AO207+AO208+AO209+AO210+AO211+AO212+AO213</f>
        <v>562400</v>
      </c>
      <c r="AP206" s="149">
        <f>+AP207+AP208+AP209+AP210+AP211+AP212+AP213</f>
        <v>0</v>
      </c>
      <c r="AQ206" s="17">
        <f>AQ207+AQ208+AQ209+AQ210+AQ211+AQ212+AQ213</f>
        <v>0</v>
      </c>
      <c r="AS206" s="1">
        <f t="shared" si="35"/>
        <v>562400</v>
      </c>
    </row>
    <row r="207" spans="1:45" s="142" customFormat="1" ht="11.25">
      <c r="A207" s="123"/>
      <c r="B207" s="306"/>
      <c r="C207" s="103" t="s">
        <v>366</v>
      </c>
      <c r="D207" s="8">
        <v>42691101</v>
      </c>
      <c r="E207" s="19" t="s">
        <v>367</v>
      </c>
      <c r="F207" s="59">
        <f t="shared" si="33"/>
        <v>90000</v>
      </c>
      <c r="G207" s="59"/>
      <c r="H207" s="59"/>
      <c r="I207" s="59">
        <v>90000</v>
      </c>
      <c r="J207" s="86"/>
      <c r="K207" s="59"/>
      <c r="N207" s="2">
        <f t="shared" si="36"/>
        <v>75000</v>
      </c>
      <c r="AL207" s="59">
        <f t="shared" si="34"/>
        <v>200000</v>
      </c>
      <c r="AM207" s="59"/>
      <c r="AN207" s="59"/>
      <c r="AO207" s="59">
        <v>200000</v>
      </c>
      <c r="AP207" s="86"/>
      <c r="AQ207" s="59"/>
      <c r="AS207" s="1">
        <f t="shared" si="35"/>
        <v>200000</v>
      </c>
    </row>
    <row r="208" spans="1:45" s="142" customFormat="1" ht="11.25">
      <c r="A208" s="123"/>
      <c r="B208" s="306"/>
      <c r="C208" s="103" t="s">
        <v>368</v>
      </c>
      <c r="D208" s="8">
        <v>42691103</v>
      </c>
      <c r="E208" s="19" t="s">
        <v>369</v>
      </c>
      <c r="F208" s="59">
        <f t="shared" si="33"/>
        <v>80000</v>
      </c>
      <c r="G208" s="59"/>
      <c r="H208" s="59"/>
      <c r="I208" s="59">
        <v>80000</v>
      </c>
      <c r="J208" s="86"/>
      <c r="K208" s="59"/>
      <c r="N208" s="2">
        <f t="shared" si="36"/>
        <v>66666.66666666667</v>
      </c>
      <c r="AL208" s="59">
        <f t="shared" si="34"/>
        <v>60400</v>
      </c>
      <c r="AM208" s="59"/>
      <c r="AN208" s="59"/>
      <c r="AO208" s="59">
        <v>60400</v>
      </c>
      <c r="AP208" s="86"/>
      <c r="AQ208" s="59"/>
      <c r="AS208" s="1">
        <f t="shared" si="35"/>
        <v>60400</v>
      </c>
    </row>
    <row r="209" spans="1:45" s="142" customFormat="1" ht="11.25">
      <c r="A209" s="123"/>
      <c r="B209" s="306"/>
      <c r="C209" s="103" t="s">
        <v>370</v>
      </c>
      <c r="D209" s="8">
        <v>42691104</v>
      </c>
      <c r="E209" s="19" t="s">
        <v>371</v>
      </c>
      <c r="F209" s="59">
        <f t="shared" si="33"/>
        <v>90000</v>
      </c>
      <c r="G209" s="59"/>
      <c r="H209" s="59"/>
      <c r="I209" s="59">
        <v>90000</v>
      </c>
      <c r="J209" s="86"/>
      <c r="K209" s="59"/>
      <c r="N209" s="2">
        <f t="shared" si="36"/>
        <v>75000</v>
      </c>
      <c r="AL209" s="59">
        <f t="shared" si="34"/>
        <v>50000</v>
      </c>
      <c r="AM209" s="59"/>
      <c r="AN209" s="59"/>
      <c r="AO209" s="59">
        <v>50000</v>
      </c>
      <c r="AP209" s="86"/>
      <c r="AQ209" s="59"/>
      <c r="AS209" s="1">
        <f t="shared" si="35"/>
        <v>50000</v>
      </c>
    </row>
    <row r="210" spans="1:45" s="142" customFormat="1" ht="11.25">
      <c r="A210" s="123"/>
      <c r="B210" s="306"/>
      <c r="C210" s="103" t="s">
        <v>372</v>
      </c>
      <c r="D210" s="8">
        <v>42691105</v>
      </c>
      <c r="E210" s="19" t="s">
        <v>373</v>
      </c>
      <c r="F210" s="59">
        <f t="shared" si="33"/>
        <v>20000</v>
      </c>
      <c r="G210" s="59"/>
      <c r="H210" s="59"/>
      <c r="I210" s="59">
        <v>20000</v>
      </c>
      <c r="J210" s="86"/>
      <c r="K210" s="59"/>
      <c r="N210" s="2">
        <f t="shared" si="36"/>
        <v>16666.666666666668</v>
      </c>
      <c r="AL210" s="59">
        <f t="shared" si="34"/>
        <v>2000</v>
      </c>
      <c r="AM210" s="59"/>
      <c r="AN210" s="59"/>
      <c r="AO210" s="59">
        <v>2000</v>
      </c>
      <c r="AP210" s="86"/>
      <c r="AQ210" s="59"/>
      <c r="AS210" s="1">
        <f t="shared" si="35"/>
        <v>2000</v>
      </c>
    </row>
    <row r="211" spans="1:45" s="142" customFormat="1" ht="11.25">
      <c r="A211" s="123"/>
      <c r="B211" s="306"/>
      <c r="C211" s="103" t="s">
        <v>374</v>
      </c>
      <c r="D211" s="8">
        <v>42691106</v>
      </c>
      <c r="E211" s="19" t="s">
        <v>375</v>
      </c>
      <c r="F211" s="59">
        <f t="shared" si="33"/>
        <v>150000</v>
      </c>
      <c r="G211" s="59"/>
      <c r="H211" s="59"/>
      <c r="I211" s="59">
        <v>150000</v>
      </c>
      <c r="J211" s="86"/>
      <c r="K211" s="59"/>
      <c r="N211" s="2">
        <f t="shared" si="36"/>
        <v>125000</v>
      </c>
      <c r="AL211" s="59">
        <f t="shared" si="34"/>
        <v>160000</v>
      </c>
      <c r="AM211" s="59"/>
      <c r="AN211" s="59"/>
      <c r="AO211" s="59">
        <v>160000</v>
      </c>
      <c r="AP211" s="86"/>
      <c r="AQ211" s="59"/>
      <c r="AS211" s="1">
        <f t="shared" si="35"/>
        <v>160000</v>
      </c>
    </row>
    <row r="212" spans="1:45" s="142" customFormat="1" ht="11.25">
      <c r="A212" s="123"/>
      <c r="B212" s="306"/>
      <c r="C212" s="103" t="s">
        <v>376</v>
      </c>
      <c r="D212" s="8">
        <v>42691107</v>
      </c>
      <c r="E212" s="19" t="s">
        <v>377</v>
      </c>
      <c r="F212" s="59">
        <f t="shared" si="33"/>
        <v>40000</v>
      </c>
      <c r="G212" s="59"/>
      <c r="H212" s="59"/>
      <c r="I212" s="59">
        <v>40000</v>
      </c>
      <c r="J212" s="86"/>
      <c r="K212" s="59"/>
      <c r="N212" s="2">
        <f t="shared" si="36"/>
        <v>33333.333333333336</v>
      </c>
      <c r="AL212" s="59">
        <f t="shared" si="34"/>
        <v>60000</v>
      </c>
      <c r="AM212" s="59"/>
      <c r="AN212" s="59"/>
      <c r="AO212" s="59">
        <v>60000</v>
      </c>
      <c r="AP212" s="86"/>
      <c r="AQ212" s="59"/>
      <c r="AS212" s="1">
        <f t="shared" si="35"/>
        <v>60000</v>
      </c>
    </row>
    <row r="213" spans="1:45" s="142" customFormat="1" ht="11.25">
      <c r="A213" s="123"/>
      <c r="B213" s="155"/>
      <c r="C213" s="103" t="s">
        <v>378</v>
      </c>
      <c r="D213" s="22">
        <v>42691108</v>
      </c>
      <c r="E213" s="156" t="s">
        <v>379</v>
      </c>
      <c r="F213" s="59">
        <f t="shared" si="33"/>
        <v>20000</v>
      </c>
      <c r="G213" s="157"/>
      <c r="H213" s="157"/>
      <c r="I213" s="157">
        <v>20000</v>
      </c>
      <c r="J213" s="158"/>
      <c r="K213" s="59"/>
      <c r="N213" s="2">
        <f t="shared" si="36"/>
        <v>16666.666666666668</v>
      </c>
      <c r="AL213" s="59">
        <f t="shared" si="34"/>
        <v>30000</v>
      </c>
      <c r="AM213" s="157"/>
      <c r="AN213" s="157"/>
      <c r="AO213" s="157">
        <v>30000</v>
      </c>
      <c r="AP213" s="158"/>
      <c r="AQ213" s="59"/>
      <c r="AS213" s="1">
        <f t="shared" si="35"/>
        <v>30000</v>
      </c>
    </row>
    <row r="214" spans="1:45" s="142" customFormat="1" ht="12" customHeight="1">
      <c r="A214" s="159" t="s">
        <v>37</v>
      </c>
      <c r="B214" s="160">
        <v>440000</v>
      </c>
      <c r="C214" s="161" t="s">
        <v>380</v>
      </c>
      <c r="D214" s="304" t="s">
        <v>381</v>
      </c>
      <c r="E214" s="304"/>
      <c r="F214" s="162">
        <f t="shared" si="33"/>
        <v>350000</v>
      </c>
      <c r="G214" s="47">
        <f>+G215</f>
        <v>0</v>
      </c>
      <c r="H214" s="47">
        <f>+H215</f>
        <v>0</v>
      </c>
      <c r="I214" s="47">
        <f>+I215</f>
        <v>0</v>
      </c>
      <c r="J214" s="163">
        <f>+J215</f>
        <v>0</v>
      </c>
      <c r="K214" s="46">
        <f>+K215</f>
        <v>350000</v>
      </c>
      <c r="N214" s="2">
        <f t="shared" si="36"/>
        <v>0</v>
      </c>
      <c r="AL214" s="162">
        <f t="shared" si="34"/>
        <v>200000</v>
      </c>
      <c r="AM214" s="47">
        <f>+AM215</f>
        <v>0</v>
      </c>
      <c r="AN214" s="47">
        <f>+AN215</f>
        <v>0</v>
      </c>
      <c r="AO214" s="47">
        <f>+AO215</f>
        <v>0</v>
      </c>
      <c r="AP214" s="163">
        <f>+AP215</f>
        <v>0</v>
      </c>
      <c r="AQ214" s="46">
        <f>+AQ215</f>
        <v>200000</v>
      </c>
      <c r="AS214" s="1">
        <f t="shared" si="35"/>
        <v>0</v>
      </c>
    </row>
    <row r="215" spans="1:45" s="142" customFormat="1" ht="11.25">
      <c r="A215" s="123"/>
      <c r="B215" s="155"/>
      <c r="C215" s="103" t="s">
        <v>382</v>
      </c>
      <c r="D215" s="8">
        <v>444211</v>
      </c>
      <c r="E215" s="19" t="s">
        <v>383</v>
      </c>
      <c r="F215" s="59">
        <f t="shared" si="33"/>
        <v>350000</v>
      </c>
      <c r="G215" s="59"/>
      <c r="H215" s="59"/>
      <c r="I215" s="59"/>
      <c r="J215" s="86"/>
      <c r="K215" s="59">
        <v>350000</v>
      </c>
      <c r="N215" s="2">
        <f t="shared" si="36"/>
        <v>0</v>
      </c>
      <c r="AL215" s="59">
        <f t="shared" si="34"/>
        <v>200000</v>
      </c>
      <c r="AM215" s="59"/>
      <c r="AN215" s="59"/>
      <c r="AO215" s="59"/>
      <c r="AP215" s="86"/>
      <c r="AQ215" s="59">
        <v>200000</v>
      </c>
      <c r="AS215" s="1">
        <f t="shared" si="35"/>
        <v>0</v>
      </c>
    </row>
    <row r="216" spans="1:45" s="142" customFormat="1" ht="12" customHeight="1">
      <c r="A216" s="159" t="s">
        <v>40</v>
      </c>
      <c r="B216" s="160">
        <v>465000</v>
      </c>
      <c r="C216" s="161" t="s">
        <v>384</v>
      </c>
      <c r="D216" s="304" t="s">
        <v>385</v>
      </c>
      <c r="E216" s="304"/>
      <c r="F216" s="162">
        <f t="shared" si="33"/>
        <v>1200000</v>
      </c>
      <c r="G216" s="47">
        <f>+G217</f>
        <v>0</v>
      </c>
      <c r="H216" s="47">
        <f>+H217</f>
        <v>0</v>
      </c>
      <c r="I216" s="47">
        <f>+I217</f>
        <v>1200000</v>
      </c>
      <c r="J216" s="163">
        <f>+J217</f>
        <v>0</v>
      </c>
      <c r="K216" s="46">
        <f>+K217</f>
        <v>0</v>
      </c>
      <c r="N216" s="2">
        <f t="shared" si="36"/>
        <v>1000000</v>
      </c>
      <c r="AL216" s="162">
        <f t="shared" si="34"/>
        <v>0</v>
      </c>
      <c r="AM216" s="47">
        <f>+AM217</f>
        <v>0</v>
      </c>
      <c r="AN216" s="47">
        <f>+AN217</f>
        <v>0</v>
      </c>
      <c r="AO216" s="47">
        <f>+AO217</f>
        <v>0</v>
      </c>
      <c r="AP216" s="163">
        <f>+AP217</f>
        <v>0</v>
      </c>
      <c r="AQ216" s="46">
        <f>+AQ217</f>
        <v>0</v>
      </c>
      <c r="AS216" s="1">
        <f t="shared" si="35"/>
        <v>0</v>
      </c>
    </row>
    <row r="217" spans="1:45" s="142" customFormat="1" ht="11.25">
      <c r="A217" s="123"/>
      <c r="B217" s="155"/>
      <c r="C217" s="103" t="s">
        <v>386</v>
      </c>
      <c r="D217" s="8">
        <v>465112</v>
      </c>
      <c r="E217" s="19" t="s">
        <v>387</v>
      </c>
      <c r="F217" s="59">
        <f>G217+H217+I217+J217+K217</f>
        <v>1200000</v>
      </c>
      <c r="G217" s="59"/>
      <c r="H217" s="59"/>
      <c r="I217" s="59">
        <v>1200000</v>
      </c>
      <c r="J217" s="86"/>
      <c r="K217" s="59"/>
      <c r="N217" s="2"/>
      <c r="AL217" s="59"/>
      <c r="AM217" s="59"/>
      <c r="AN217" s="59"/>
      <c r="AO217" s="59"/>
      <c r="AP217" s="86"/>
      <c r="AQ217" s="59"/>
      <c r="AS217" s="1"/>
    </row>
    <row r="218" spans="1:45" s="142" customFormat="1" ht="12" customHeight="1">
      <c r="A218" s="159" t="s">
        <v>42</v>
      </c>
      <c r="B218" s="160">
        <v>482000</v>
      </c>
      <c r="C218" s="161" t="s">
        <v>384</v>
      </c>
      <c r="D218" s="304" t="s">
        <v>388</v>
      </c>
      <c r="E218" s="304"/>
      <c r="F218" s="162">
        <f>+G218+H218+I218+J218+K218</f>
        <v>145429</v>
      </c>
      <c r="G218" s="47">
        <f>+G219+G220+G221</f>
        <v>0</v>
      </c>
      <c r="H218" s="47">
        <f>+H219+H220+H221</f>
        <v>0</v>
      </c>
      <c r="I218" s="47">
        <f>+I219+I220+I221</f>
        <v>0</v>
      </c>
      <c r="J218" s="163">
        <f>+J219+J220+J221</f>
        <v>0</v>
      </c>
      <c r="K218" s="46">
        <f>K219+K220+K221+K222</f>
        <v>145429</v>
      </c>
      <c r="N218" s="2">
        <f>+I218/1.2</f>
        <v>0</v>
      </c>
      <c r="AL218" s="162">
        <f>+AM218+AN218+AO218+AP218+AQ218</f>
        <v>397000</v>
      </c>
      <c r="AM218" s="47">
        <f>+AM219+AM220+AM221</f>
        <v>0</v>
      </c>
      <c r="AN218" s="47">
        <f>+AN219+AN220+AN221</f>
        <v>0</v>
      </c>
      <c r="AO218" s="47">
        <f>+AO219+AO220+AO221</f>
        <v>102000</v>
      </c>
      <c r="AP218" s="163">
        <f>+AP219+AP220+AP221</f>
        <v>0</v>
      </c>
      <c r="AQ218" s="46">
        <f>+AQ219+AQ220+AQ221+AQ222</f>
        <v>295000</v>
      </c>
      <c r="AS218" s="1">
        <f aca="true" t="shared" si="37" ref="AS218:AS227">AL218-AN218-AQ218</f>
        <v>102000</v>
      </c>
    </row>
    <row r="219" spans="1:45" s="142" customFormat="1" ht="11.25">
      <c r="A219" s="54"/>
      <c r="B219" s="102"/>
      <c r="C219" s="103" t="s">
        <v>389</v>
      </c>
      <c r="D219" s="8">
        <v>482131</v>
      </c>
      <c r="E219" s="19" t="s">
        <v>390</v>
      </c>
      <c r="F219" s="59">
        <f>+G219+H219+I219+J219+K219</f>
        <v>0</v>
      </c>
      <c r="G219" s="59"/>
      <c r="H219" s="59"/>
      <c r="I219" s="59"/>
      <c r="J219" s="86"/>
      <c r="K219" s="59"/>
      <c r="N219" s="2">
        <f>+I219/1.2</f>
        <v>0</v>
      </c>
      <c r="AL219" s="59">
        <f>+AM219+AN219+AO219+AP219+AQ219</f>
        <v>80000</v>
      </c>
      <c r="AM219" s="59"/>
      <c r="AN219" s="59"/>
      <c r="AO219" s="59">
        <v>80000</v>
      </c>
      <c r="AP219" s="86"/>
      <c r="AQ219" s="59"/>
      <c r="AS219" s="1">
        <f t="shared" si="37"/>
        <v>80000</v>
      </c>
    </row>
    <row r="220" spans="1:45" s="142" customFormat="1" ht="11.25">
      <c r="A220" s="54"/>
      <c r="B220" s="102"/>
      <c r="C220" s="103" t="s">
        <v>391</v>
      </c>
      <c r="D220" s="8">
        <v>482211</v>
      </c>
      <c r="E220" s="19" t="s">
        <v>392</v>
      </c>
      <c r="F220" s="59">
        <f>+G220+H220+I220+J220+K220</f>
        <v>20000</v>
      </c>
      <c r="G220" s="59"/>
      <c r="H220" s="59"/>
      <c r="I220" s="59"/>
      <c r="J220" s="86"/>
      <c r="K220" s="59">
        <v>20000</v>
      </c>
      <c r="N220" s="2">
        <f>+I220/1.2</f>
        <v>0</v>
      </c>
      <c r="AL220" s="59">
        <f>+AM220+AN220+AO220+AP220+AQ220</f>
        <v>0</v>
      </c>
      <c r="AM220" s="59"/>
      <c r="AN220" s="59"/>
      <c r="AO220" s="59"/>
      <c r="AP220" s="86"/>
      <c r="AQ220" s="59"/>
      <c r="AS220" s="1">
        <f t="shared" si="37"/>
        <v>0</v>
      </c>
    </row>
    <row r="221" spans="1:45" ht="11.25">
      <c r="A221" s="54"/>
      <c r="B221" s="102"/>
      <c r="C221" s="103" t="s">
        <v>393</v>
      </c>
      <c r="D221" s="8">
        <v>482251</v>
      </c>
      <c r="E221" s="19" t="s">
        <v>394</v>
      </c>
      <c r="F221" s="59">
        <f>+G221+H221+I221+J221+K221</f>
        <v>25429</v>
      </c>
      <c r="G221" s="59"/>
      <c r="H221" s="59"/>
      <c r="I221" s="59"/>
      <c r="J221" s="86"/>
      <c r="K221" s="59">
        <v>25429</v>
      </c>
      <c r="N221" s="2">
        <f>+I221/1.2</f>
        <v>0</v>
      </c>
      <c r="AL221" s="59">
        <f>+AM221+AN221+AO221+AP221+AQ221</f>
        <v>22000</v>
      </c>
      <c r="AM221" s="59"/>
      <c r="AN221" s="59"/>
      <c r="AO221" s="59">
        <v>22000</v>
      </c>
      <c r="AP221" s="86"/>
      <c r="AQ221" s="59"/>
      <c r="AS221" s="1">
        <f t="shared" si="37"/>
        <v>22000</v>
      </c>
    </row>
    <row r="222" spans="1:256" s="142" customFormat="1" ht="15.75" customHeight="1">
      <c r="A222" s="102"/>
      <c r="B222" s="103"/>
      <c r="C222" s="8" t="s">
        <v>395</v>
      </c>
      <c r="D222" s="8">
        <v>4821912</v>
      </c>
      <c r="E222" s="59" t="s">
        <v>396</v>
      </c>
      <c r="F222" s="59">
        <f>G222+H222+I222+J222+K222</f>
        <v>100000</v>
      </c>
      <c r="G222" s="59"/>
      <c r="H222" s="59"/>
      <c r="I222" s="86"/>
      <c r="J222" s="59"/>
      <c r="K222" s="142">
        <v>100000</v>
      </c>
      <c r="M222" s="2"/>
      <c r="AK222" s="59">
        <f>+AL222+AM222+AN222+AO222+AP222</f>
        <v>295000</v>
      </c>
      <c r="AL222" s="59">
        <f>AM222+AN222+AO222+AP222+AQ222</f>
        <v>295000</v>
      </c>
      <c r="AM222" s="59"/>
      <c r="AN222" s="59"/>
      <c r="AO222" s="86"/>
      <c r="AP222" s="59"/>
      <c r="AQ222" s="164" t="s">
        <v>397</v>
      </c>
      <c r="AR222"/>
      <c r="AS222" s="1">
        <f t="shared" si="37"/>
        <v>0</v>
      </c>
      <c r="AT222"/>
      <c r="AU222"/>
      <c r="AV222"/>
      <c r="AW222"/>
      <c r="AX222"/>
      <c r="AY222"/>
      <c r="AZ222"/>
      <c r="BC222" s="2"/>
      <c r="CA222" s="59">
        <f>+CB222+CC222+CD222+CE222+CF222</f>
        <v>295000</v>
      </c>
      <c r="CB222" s="59"/>
      <c r="CC222" s="59"/>
      <c r="CD222" s="59"/>
      <c r="CE222" s="86"/>
      <c r="CF222" s="59">
        <v>295000</v>
      </c>
      <c r="CG222" s="102"/>
      <c r="CH222" s="103" t="s">
        <v>398</v>
      </c>
      <c r="CI222" s="8">
        <v>4821912</v>
      </c>
      <c r="CJ222" s="19" t="s">
        <v>396</v>
      </c>
      <c r="CK222" s="59"/>
      <c r="CL222" s="59"/>
      <c r="CM222" s="59"/>
      <c r="CN222" s="59"/>
      <c r="CO222" s="86"/>
      <c r="CP222" s="59"/>
      <c r="CS222" s="2"/>
      <c r="DQ222" s="59">
        <f>+DR222+DS222+DT222+DU222+DV222</f>
        <v>295000</v>
      </c>
      <c r="DR222" s="59"/>
      <c r="DS222" s="59"/>
      <c r="DT222" s="59"/>
      <c r="DU222" s="86"/>
      <c r="DV222" s="59">
        <v>295000</v>
      </c>
      <c r="DW222" s="102"/>
      <c r="DX222" s="103" t="s">
        <v>398</v>
      </c>
      <c r="DY222" s="8">
        <v>4821912</v>
      </c>
      <c r="DZ222" s="19" t="s">
        <v>396</v>
      </c>
      <c r="EA222" s="59"/>
      <c r="EB222" s="59"/>
      <c r="EC222" s="59"/>
      <c r="ED222" s="59"/>
      <c r="EE222" s="86"/>
      <c r="EF222" s="59"/>
      <c r="EI222" s="2"/>
      <c r="FG222" s="59">
        <f>+FH222+FI222+FJ222+FK222+FL222</f>
        <v>295000</v>
      </c>
      <c r="FH222" s="59"/>
      <c r="FI222" s="59"/>
      <c r="FJ222" s="59"/>
      <c r="FK222" s="86"/>
      <c r="FL222" s="59">
        <v>295000</v>
      </c>
      <c r="FM222" s="102"/>
      <c r="FN222" s="103" t="s">
        <v>398</v>
      </c>
      <c r="FO222" s="8">
        <v>4821912</v>
      </c>
      <c r="FP222" s="19" t="s">
        <v>396</v>
      </c>
      <c r="FQ222" s="59"/>
      <c r="FR222" s="59"/>
      <c r="FS222" s="59"/>
      <c r="FT222" s="59"/>
      <c r="FU222" s="86"/>
      <c r="FV222" s="59"/>
      <c r="FY222" s="2"/>
      <c r="GW222" s="59">
        <f>+GX222+GY222+GZ222+HA222+HB222</f>
        <v>295000</v>
      </c>
      <c r="GX222" s="59"/>
      <c r="GY222" s="59"/>
      <c r="GZ222" s="59"/>
      <c r="HA222" s="86"/>
      <c r="HB222" s="59">
        <v>295000</v>
      </c>
      <c r="HC222" s="102"/>
      <c r="HD222" s="103" t="s">
        <v>398</v>
      </c>
      <c r="HE222" s="8">
        <v>4821912</v>
      </c>
      <c r="HF222" s="19" t="s">
        <v>396</v>
      </c>
      <c r="HG222" s="59"/>
      <c r="HH222" s="59"/>
      <c r="HI222" s="59"/>
      <c r="HJ222" s="59"/>
      <c r="HK222" s="86"/>
      <c r="HL222" s="59"/>
      <c r="HO222" s="2"/>
      <c r="IM222" s="59">
        <f>+IN222+IO222+IP222+IQ222+IR222</f>
        <v>295000</v>
      </c>
      <c r="IN222" s="59"/>
      <c r="IO222" s="59"/>
      <c r="IP222" s="59"/>
      <c r="IQ222" s="86"/>
      <c r="IR222" s="59">
        <v>295000</v>
      </c>
      <c r="IS222" s="102"/>
      <c r="IT222" s="103" t="s">
        <v>398</v>
      </c>
      <c r="IU222" s="8">
        <v>4821912</v>
      </c>
      <c r="IV222" s="19" t="s">
        <v>396</v>
      </c>
    </row>
    <row r="223" spans="1:45" ht="12" customHeight="1">
      <c r="A223" s="159" t="s">
        <v>399</v>
      </c>
      <c r="B223" s="160">
        <v>483000</v>
      </c>
      <c r="C223" s="161" t="s">
        <v>400</v>
      </c>
      <c r="D223" s="304" t="s">
        <v>401</v>
      </c>
      <c r="E223" s="304"/>
      <c r="F223" s="162">
        <f>+G223+H223+I223+J223+K223</f>
        <v>115000</v>
      </c>
      <c r="G223" s="165"/>
      <c r="H223" s="165"/>
      <c r="I223" s="47">
        <f>+I224</f>
        <v>0</v>
      </c>
      <c r="J223" s="166"/>
      <c r="K223" s="46">
        <f>K224</f>
        <v>115000</v>
      </c>
      <c r="N223" s="2">
        <f>+I223/1.2</f>
        <v>0</v>
      </c>
      <c r="AL223" s="162" t="e">
        <f>+AM223+AN223+AO223+AP223+AQ223</f>
        <v>#VALUE!</v>
      </c>
      <c r="AM223" s="165"/>
      <c r="AN223" s="165"/>
      <c r="AO223" s="47" t="str">
        <f>+AO224</f>
        <v>   </v>
      </c>
      <c r="AP223" s="166"/>
      <c r="AQ223" s="46">
        <f>AQ224</f>
        <v>57000</v>
      </c>
      <c r="AS223" s="1" t="e">
        <f t="shared" si="37"/>
        <v>#VALUE!</v>
      </c>
    </row>
    <row r="224" spans="1:45" ht="11.25">
      <c r="A224" s="54"/>
      <c r="B224" s="102"/>
      <c r="C224" s="167" t="s">
        <v>402</v>
      </c>
      <c r="D224" s="8">
        <v>483111</v>
      </c>
      <c r="E224" s="19" t="s">
        <v>403</v>
      </c>
      <c r="F224" s="59">
        <f>+G224+H224+I224+J224+K224</f>
        <v>115000</v>
      </c>
      <c r="G224" s="59"/>
      <c r="H224" s="59"/>
      <c r="I224" s="113"/>
      <c r="J224" s="86"/>
      <c r="K224" s="59">
        <v>115000</v>
      </c>
      <c r="N224" s="2">
        <f>+I224/1.2</f>
        <v>0</v>
      </c>
      <c r="AL224" s="59" t="e">
        <f>+AM224+AN224+AO224+AP224+AQ224</f>
        <v>#VALUE!</v>
      </c>
      <c r="AM224" s="59"/>
      <c r="AN224" s="59"/>
      <c r="AO224" s="113" t="s">
        <v>404</v>
      </c>
      <c r="AP224" s="86"/>
      <c r="AQ224" s="59">
        <v>57000</v>
      </c>
      <c r="AS224" s="1" t="e">
        <f t="shared" si="37"/>
        <v>#VALUE!</v>
      </c>
    </row>
    <row r="225" spans="1:45" ht="12" customHeight="1">
      <c r="A225" s="94" t="s">
        <v>405</v>
      </c>
      <c r="B225" s="168" t="s">
        <v>406</v>
      </c>
      <c r="C225" s="169" t="s">
        <v>407</v>
      </c>
      <c r="D225" s="304" t="s">
        <v>408</v>
      </c>
      <c r="E225" s="304"/>
      <c r="F225" s="162">
        <f>+G225+H225+I225+J225+K225</f>
        <v>3640000</v>
      </c>
      <c r="G225" s="47">
        <f>+G233+G241+G242</f>
        <v>0</v>
      </c>
      <c r="H225" s="47">
        <f>+H233+H241+H242+H226+H228+H236+H230+H239+H234+H231</f>
        <v>2000000</v>
      </c>
      <c r="I225" s="47">
        <f>+I233+I241+I242</f>
        <v>0</v>
      </c>
      <c r="J225" s="47">
        <f>+J233+J241+J242</f>
        <v>0</v>
      </c>
      <c r="K225" s="47">
        <f>K226+K228+K231+K236+K240+K232</f>
        <v>1640000</v>
      </c>
      <c r="N225" s="2">
        <f>+I225/1.2</f>
        <v>0</v>
      </c>
      <c r="AL225" s="162">
        <f>+AM225+AN225+AO225+AP225+AQ225</f>
        <v>30900000</v>
      </c>
      <c r="AM225" s="47">
        <f>+AM233+AM241+AM242</f>
        <v>0</v>
      </c>
      <c r="AN225" s="47">
        <f>+AN233+AN241+AN242+AN226+AN236</f>
        <v>30700000</v>
      </c>
      <c r="AO225" s="47">
        <f>+AO233+AO241+AO242</f>
        <v>0</v>
      </c>
      <c r="AP225" s="47">
        <f>+AP233+AP241+AP242</f>
        <v>0</v>
      </c>
      <c r="AQ225" s="47">
        <v>200000</v>
      </c>
      <c r="AS225" s="1">
        <f t="shared" si="37"/>
        <v>0</v>
      </c>
    </row>
    <row r="226" spans="1:45" ht="12" customHeight="1">
      <c r="A226" s="94"/>
      <c r="B226" s="168"/>
      <c r="C226" s="169" t="s">
        <v>409</v>
      </c>
      <c r="D226" s="160">
        <v>511200</v>
      </c>
      <c r="E226" s="170" t="s">
        <v>410</v>
      </c>
      <c r="F226" s="162">
        <f>G226+H226+I226+J226+K226</f>
        <v>0</v>
      </c>
      <c r="G226" s="47"/>
      <c r="H226" s="47">
        <f>H227</f>
        <v>0</v>
      </c>
      <c r="I226" s="47"/>
      <c r="J226" s="47"/>
      <c r="K226" s="47"/>
      <c r="AL226" s="171">
        <f>AM226+AN226+AO226+AP226+AQ226</f>
        <v>20000000</v>
      </c>
      <c r="AM226" s="47"/>
      <c r="AN226" s="47">
        <f>AN227</f>
        <v>20000000</v>
      </c>
      <c r="AO226" s="47"/>
      <c r="AP226" s="47"/>
      <c r="AQ226" s="47"/>
      <c r="AS226" s="1">
        <f t="shared" si="37"/>
        <v>0</v>
      </c>
    </row>
    <row r="227" spans="1:45" ht="12" customHeight="1">
      <c r="A227" s="94"/>
      <c r="B227" s="168"/>
      <c r="C227" s="169" t="s">
        <v>411</v>
      </c>
      <c r="D227" s="172">
        <v>511222</v>
      </c>
      <c r="E227" s="173" t="s">
        <v>412</v>
      </c>
      <c r="F227" s="171">
        <f>G227+H227+I227+J227+K227</f>
        <v>0</v>
      </c>
      <c r="G227" s="47"/>
      <c r="H227" s="174"/>
      <c r="I227" s="47"/>
      <c r="J227" s="47"/>
      <c r="K227" s="47"/>
      <c r="AL227" s="171">
        <f>AM227+AN227+AO227+AP227+AQ227</f>
        <v>20000000</v>
      </c>
      <c r="AM227" s="47"/>
      <c r="AN227" s="174">
        <v>20000000</v>
      </c>
      <c r="AO227" s="47"/>
      <c r="AP227" s="47"/>
      <c r="AQ227" s="47"/>
      <c r="AS227" s="1">
        <f t="shared" si="37"/>
        <v>0</v>
      </c>
    </row>
    <row r="228" spans="1:43" ht="12" customHeight="1">
      <c r="A228" s="94"/>
      <c r="B228" s="168"/>
      <c r="C228" s="169" t="s">
        <v>413</v>
      </c>
      <c r="D228" s="160">
        <v>511300</v>
      </c>
      <c r="E228" s="170" t="s">
        <v>414</v>
      </c>
      <c r="F228" s="162">
        <f>G228+H228+I228+J228+K228</f>
        <v>100000</v>
      </c>
      <c r="G228" s="47"/>
      <c r="H228" s="47">
        <f>H229</f>
        <v>0</v>
      </c>
      <c r="I228" s="47"/>
      <c r="J228" s="47"/>
      <c r="K228" s="47">
        <f>K229+K230</f>
        <v>100000</v>
      </c>
      <c r="AL228" s="171"/>
      <c r="AM228" s="47"/>
      <c r="AN228" s="174"/>
      <c r="AO228" s="47"/>
      <c r="AP228" s="47"/>
      <c r="AQ228" s="47"/>
    </row>
    <row r="229" spans="1:43" ht="12" customHeight="1">
      <c r="A229" s="94"/>
      <c r="B229" s="168"/>
      <c r="C229" s="169" t="s">
        <v>415</v>
      </c>
      <c r="D229" s="172">
        <v>511322</v>
      </c>
      <c r="E229" s="173" t="s">
        <v>416</v>
      </c>
      <c r="F229" s="171">
        <f>G229+H229+I229+J229+K229+AL229</f>
        <v>0</v>
      </c>
      <c r="G229" s="47"/>
      <c r="H229" s="174"/>
      <c r="I229" s="47"/>
      <c r="J229" s="47"/>
      <c r="K229" s="47"/>
      <c r="AL229" s="171"/>
      <c r="AM229" s="47"/>
      <c r="AN229" s="174"/>
      <c r="AO229" s="47"/>
      <c r="AP229" s="47"/>
      <c r="AQ229" s="47"/>
    </row>
    <row r="230" spans="1:43" ht="12" customHeight="1">
      <c r="A230" s="94"/>
      <c r="B230" s="168"/>
      <c r="C230" s="169"/>
      <c r="D230" s="172" t="s">
        <v>417</v>
      </c>
      <c r="E230" s="173" t="s">
        <v>418</v>
      </c>
      <c r="F230" s="171">
        <f aca="true" t="shared" si="38" ref="F230:F241">G230+H230+I230+J230+K230</f>
        <v>1100000</v>
      </c>
      <c r="G230" s="47"/>
      <c r="H230" s="174">
        <v>1000000</v>
      </c>
      <c r="I230" s="47"/>
      <c r="J230" s="47"/>
      <c r="K230" s="174">
        <v>100000</v>
      </c>
      <c r="AL230" s="171"/>
      <c r="AM230" s="47"/>
      <c r="AN230" s="174"/>
      <c r="AO230" s="47"/>
      <c r="AP230" s="47"/>
      <c r="AQ230" s="47"/>
    </row>
    <row r="231" spans="1:45" ht="12" customHeight="1">
      <c r="A231" s="94"/>
      <c r="B231" s="168"/>
      <c r="C231" s="169" t="s">
        <v>413</v>
      </c>
      <c r="D231" s="160">
        <v>512000</v>
      </c>
      <c r="E231" s="170" t="s">
        <v>419</v>
      </c>
      <c r="F231" s="162">
        <f t="shared" si="38"/>
        <v>0</v>
      </c>
      <c r="G231" s="47"/>
      <c r="H231" s="47">
        <f>H232</f>
        <v>0</v>
      </c>
      <c r="I231" s="47"/>
      <c r="J231" s="47"/>
      <c r="K231" s="47"/>
      <c r="AL231" s="171">
        <f>AM231+AN231+AO231+AP231+AQ231</f>
        <v>8000000</v>
      </c>
      <c r="AM231" s="47"/>
      <c r="AN231" s="47">
        <f>AN233</f>
        <v>8000000</v>
      </c>
      <c r="AO231" s="47"/>
      <c r="AP231" s="47"/>
      <c r="AQ231" s="47"/>
      <c r="AS231" s="1">
        <f>AL231-AN231-AQ231</f>
        <v>0</v>
      </c>
    </row>
    <row r="232" spans="1:45" ht="12" customHeight="1">
      <c r="A232" s="94"/>
      <c r="B232" s="168"/>
      <c r="C232" s="169" t="s">
        <v>415</v>
      </c>
      <c r="D232" s="160">
        <v>512200</v>
      </c>
      <c r="E232" s="170" t="s">
        <v>420</v>
      </c>
      <c r="F232" s="162">
        <f t="shared" si="38"/>
        <v>240000</v>
      </c>
      <c r="G232" s="47"/>
      <c r="H232" s="174"/>
      <c r="I232" s="47"/>
      <c r="J232" s="47"/>
      <c r="K232" s="47">
        <f>K233+K234+K235</f>
        <v>240000</v>
      </c>
      <c r="AL232" s="171">
        <f>AM232+AN232+AO232+AP232+AQ232</f>
        <v>8000000</v>
      </c>
      <c r="AM232" s="47"/>
      <c r="AN232" s="174">
        <v>8000000</v>
      </c>
      <c r="AO232" s="47"/>
      <c r="AP232" s="47"/>
      <c r="AQ232" s="47"/>
      <c r="AS232" s="1">
        <f>AL232-AN232-AQ232</f>
        <v>0</v>
      </c>
    </row>
    <row r="233" spans="1:45" ht="11.25">
      <c r="A233" s="175"/>
      <c r="B233" s="176"/>
      <c r="C233" s="177" t="s">
        <v>421</v>
      </c>
      <c r="D233" s="128">
        <v>512221</v>
      </c>
      <c r="E233" s="178" t="s">
        <v>248</v>
      </c>
      <c r="F233" s="59">
        <f t="shared" si="38"/>
        <v>100000</v>
      </c>
      <c r="G233" s="179"/>
      <c r="H233" s="180"/>
      <c r="I233" s="179"/>
      <c r="J233" s="181"/>
      <c r="K233" s="180">
        <v>100000</v>
      </c>
      <c r="N233" s="2">
        <f>+F233/1.2</f>
        <v>83333.33333333334</v>
      </c>
      <c r="AL233" s="59">
        <f>AM233+AN233+AO233+AP233+AQ233</f>
        <v>8000000</v>
      </c>
      <c r="AM233" s="179"/>
      <c r="AN233" s="180">
        <v>8000000</v>
      </c>
      <c r="AO233" s="179"/>
      <c r="AP233" s="181"/>
      <c r="AQ233" s="180"/>
      <c r="AS233" s="1">
        <f>AL233-AN233-AQ233</f>
        <v>0</v>
      </c>
    </row>
    <row r="234" spans="1:43" ht="11.25">
      <c r="A234" s="175"/>
      <c r="B234" s="176"/>
      <c r="C234" s="177"/>
      <c r="D234" s="128">
        <v>512232</v>
      </c>
      <c r="E234" s="178" t="s">
        <v>422</v>
      </c>
      <c r="F234" s="59">
        <f t="shared" si="38"/>
        <v>40000</v>
      </c>
      <c r="G234" s="179"/>
      <c r="H234" s="180"/>
      <c r="I234" s="179"/>
      <c r="J234" s="181"/>
      <c r="K234" s="180">
        <v>40000</v>
      </c>
      <c r="AL234" s="59"/>
      <c r="AM234" s="179"/>
      <c r="AN234" s="180"/>
      <c r="AO234" s="179"/>
      <c r="AP234" s="181"/>
      <c r="AQ234" s="180"/>
    </row>
    <row r="235" spans="1:43" ht="11.25">
      <c r="A235" s="175"/>
      <c r="B235" s="176"/>
      <c r="C235" s="177"/>
      <c r="D235" s="128">
        <v>512251</v>
      </c>
      <c r="E235" s="178" t="s">
        <v>254</v>
      </c>
      <c r="F235" s="59">
        <f t="shared" si="38"/>
        <v>100000</v>
      </c>
      <c r="G235" s="179"/>
      <c r="H235" s="180"/>
      <c r="I235" s="179"/>
      <c r="J235" s="181"/>
      <c r="K235" s="180">
        <v>100000</v>
      </c>
      <c r="AL235" s="59"/>
      <c r="AM235" s="179"/>
      <c r="AN235" s="180"/>
      <c r="AO235" s="179"/>
      <c r="AP235" s="181"/>
      <c r="AQ235" s="180"/>
    </row>
    <row r="236" spans="1:45" ht="11.25">
      <c r="A236" s="175"/>
      <c r="B236" s="176"/>
      <c r="C236" s="177" t="s">
        <v>423</v>
      </c>
      <c r="D236" s="97">
        <v>515100</v>
      </c>
      <c r="E236" s="89" t="s">
        <v>424</v>
      </c>
      <c r="F236" s="61">
        <f t="shared" si="38"/>
        <v>300000</v>
      </c>
      <c r="G236" s="179"/>
      <c r="H236" s="68">
        <f>H237</f>
        <v>0</v>
      </c>
      <c r="I236" s="179"/>
      <c r="J236" s="181"/>
      <c r="K236" s="68">
        <f>K237+K238</f>
        <v>300000</v>
      </c>
      <c r="AL236" s="61">
        <f aca="true" t="shared" si="39" ref="AL236:AL241">AM236+AN236+AO236+AP236+AQ236</f>
        <v>1500000</v>
      </c>
      <c r="AM236" s="179"/>
      <c r="AN236" s="68">
        <f>AN237</f>
        <v>1500000</v>
      </c>
      <c r="AO236" s="179"/>
      <c r="AP236" s="181"/>
      <c r="AQ236" s="180"/>
      <c r="AS236" s="1">
        <f aca="true" t="shared" si="40" ref="AS236:AS241">AL236-AN236-AQ236</f>
        <v>0</v>
      </c>
    </row>
    <row r="237" spans="1:45" ht="11.25">
      <c r="A237" s="175"/>
      <c r="B237" s="176"/>
      <c r="C237" s="177" t="s">
        <v>425</v>
      </c>
      <c r="D237" s="128">
        <v>515110</v>
      </c>
      <c r="E237" s="178" t="s">
        <v>426</v>
      </c>
      <c r="F237" s="59">
        <f t="shared" si="38"/>
        <v>0</v>
      </c>
      <c r="G237" s="179"/>
      <c r="H237" s="180"/>
      <c r="I237" s="179"/>
      <c r="J237" s="181"/>
      <c r="K237" s="180"/>
      <c r="AL237" s="59">
        <f t="shared" si="39"/>
        <v>1500000</v>
      </c>
      <c r="AM237" s="179"/>
      <c r="AN237" s="180">
        <f>AN238+AN239</f>
        <v>1500000</v>
      </c>
      <c r="AO237" s="179"/>
      <c r="AP237" s="181"/>
      <c r="AQ237" s="180"/>
      <c r="AS237" s="1">
        <f t="shared" si="40"/>
        <v>0</v>
      </c>
    </row>
    <row r="238" spans="1:45" ht="11.25">
      <c r="A238" s="175"/>
      <c r="B238" s="176"/>
      <c r="C238" s="177" t="s">
        <v>427</v>
      </c>
      <c r="D238" s="128">
        <v>515111</v>
      </c>
      <c r="E238" s="178" t="s">
        <v>428</v>
      </c>
      <c r="F238" s="59">
        <f t="shared" si="38"/>
        <v>300000</v>
      </c>
      <c r="G238" s="179"/>
      <c r="H238" s="180"/>
      <c r="I238" s="179"/>
      <c r="J238" s="181"/>
      <c r="K238" s="180">
        <v>300000</v>
      </c>
      <c r="AL238" s="59">
        <f t="shared" si="39"/>
        <v>1000000</v>
      </c>
      <c r="AM238" s="179"/>
      <c r="AN238" s="180">
        <v>1000000</v>
      </c>
      <c r="AO238" s="179"/>
      <c r="AP238" s="181"/>
      <c r="AQ238" s="180"/>
      <c r="AS238" s="1">
        <f t="shared" si="40"/>
        <v>0</v>
      </c>
    </row>
    <row r="239" spans="1:45" ht="11.25">
      <c r="A239" s="175"/>
      <c r="B239" s="176"/>
      <c r="C239" s="177" t="s">
        <v>429</v>
      </c>
      <c r="D239" s="128"/>
      <c r="E239" s="178"/>
      <c r="F239" s="59">
        <f t="shared" si="38"/>
        <v>0</v>
      </c>
      <c r="G239" s="179"/>
      <c r="H239" s="180"/>
      <c r="I239" s="179"/>
      <c r="J239" s="181"/>
      <c r="K239" s="180"/>
      <c r="AL239" s="59">
        <f t="shared" si="39"/>
        <v>500000</v>
      </c>
      <c r="AM239" s="179"/>
      <c r="AN239" s="180">
        <v>500000</v>
      </c>
      <c r="AO239" s="179"/>
      <c r="AP239" s="181"/>
      <c r="AQ239" s="180"/>
      <c r="AS239" s="1">
        <f t="shared" si="40"/>
        <v>0</v>
      </c>
    </row>
    <row r="240" spans="1:45" ht="11.25">
      <c r="A240" s="175"/>
      <c r="B240" s="176"/>
      <c r="C240" s="182" t="s">
        <v>430</v>
      </c>
      <c r="D240" s="97">
        <v>512500</v>
      </c>
      <c r="E240" s="89" t="s">
        <v>431</v>
      </c>
      <c r="F240" s="183">
        <f t="shared" si="38"/>
        <v>2000000</v>
      </c>
      <c r="G240" s="183">
        <f>G241</f>
        <v>0</v>
      </c>
      <c r="H240" s="183">
        <f>H241</f>
        <v>1000000</v>
      </c>
      <c r="I240" s="183">
        <f>I241</f>
        <v>0</v>
      </c>
      <c r="J240" s="183">
        <f>J241</f>
        <v>0</v>
      </c>
      <c r="K240" s="68">
        <f>K241</f>
        <v>1000000</v>
      </c>
      <c r="AL240" s="59">
        <f t="shared" si="39"/>
        <v>1400000</v>
      </c>
      <c r="AM240" s="179"/>
      <c r="AN240" s="68">
        <f>AN241</f>
        <v>1200000</v>
      </c>
      <c r="AO240" s="179"/>
      <c r="AP240" s="181"/>
      <c r="AQ240" s="68">
        <f>AQ241</f>
        <v>200000</v>
      </c>
      <c r="AS240" s="1">
        <f t="shared" si="40"/>
        <v>0</v>
      </c>
    </row>
    <row r="241" spans="1:45" ht="11.25">
      <c r="A241" s="175"/>
      <c r="B241" s="176"/>
      <c r="C241" s="177" t="s">
        <v>432</v>
      </c>
      <c r="D241" s="128">
        <v>512511</v>
      </c>
      <c r="E241" s="178" t="s">
        <v>433</v>
      </c>
      <c r="F241" s="59">
        <f t="shared" si="38"/>
        <v>2000000</v>
      </c>
      <c r="G241" s="179"/>
      <c r="H241" s="180">
        <v>1000000</v>
      </c>
      <c r="I241" s="180"/>
      <c r="J241" s="184"/>
      <c r="K241" s="180">
        <v>1000000</v>
      </c>
      <c r="N241" s="2">
        <f>+F241/1.2</f>
        <v>1666666.6666666667</v>
      </c>
      <c r="AL241" s="59">
        <f t="shared" si="39"/>
        <v>1400000</v>
      </c>
      <c r="AM241" s="179"/>
      <c r="AN241" s="180">
        <v>1200000</v>
      </c>
      <c r="AO241" s="180"/>
      <c r="AP241" s="184"/>
      <c r="AQ241" s="180">
        <v>200000</v>
      </c>
      <c r="AS241" s="1">
        <f t="shared" si="40"/>
        <v>0</v>
      </c>
    </row>
    <row r="242" spans="1:43" ht="11.25">
      <c r="A242" s="175"/>
      <c r="B242" s="176"/>
      <c r="C242" s="182"/>
      <c r="D242" s="128"/>
      <c r="E242" s="178"/>
      <c r="F242" s="59"/>
      <c r="G242" s="179"/>
      <c r="H242" s="179"/>
      <c r="I242" s="180"/>
      <c r="J242" s="184"/>
      <c r="K242" s="180"/>
      <c r="N242" s="2">
        <f>+F242/1.2</f>
        <v>0</v>
      </c>
      <c r="AL242" s="59"/>
      <c r="AM242" s="179"/>
      <c r="AN242" s="179"/>
      <c r="AO242" s="180"/>
      <c r="AP242" s="184"/>
      <c r="AQ242" s="180"/>
    </row>
    <row r="243" spans="1:43" ht="12.75" customHeight="1">
      <c r="A243" s="309" t="s">
        <v>434</v>
      </c>
      <c r="B243" s="309"/>
      <c r="C243" s="309"/>
      <c r="D243" s="309"/>
      <c r="E243" s="309"/>
      <c r="F243" s="61">
        <f>+G243+H243+I243+J243+K243</f>
        <v>286594000</v>
      </c>
      <c r="G243" s="185">
        <f>G38</f>
        <v>0</v>
      </c>
      <c r="H243" s="132">
        <f>+H225+H223+H218+H214+H60+H38</f>
        <v>19212000</v>
      </c>
      <c r="I243" s="132">
        <f>+I225+I223+I218+I214+I60+I38+I216</f>
        <v>257892000</v>
      </c>
      <c r="J243" s="133">
        <f>+J225+J223+J218+J214+J60+J38</f>
        <v>0</v>
      </c>
      <c r="K243" s="132">
        <f>+K225+K223+K218+K214+K60+K38</f>
        <v>9490000</v>
      </c>
      <c r="N243" s="2">
        <f>+I243/1.2</f>
        <v>214910000</v>
      </c>
      <c r="AL243" s="61" t="e">
        <f>+AM243+AN243+AO243+AP243+AQ243</f>
        <v>#VALUE!</v>
      </c>
      <c r="AM243" s="185"/>
      <c r="AN243" s="132">
        <f>+AN225+AN223+AN218+AN214+AN60+AN38</f>
        <v>30700000</v>
      </c>
      <c r="AO243" s="132" t="e">
        <f>+AO225+AO223+AO218+AO214+AO60+AO38</f>
        <v>#VALUE!</v>
      </c>
      <c r="AP243" s="133">
        <f>+AP225+AP223+AP218+AP214+AP60+AP38</f>
        <v>150000</v>
      </c>
      <c r="AQ243" s="132">
        <f>+AQ225+AQ223+AQ218+AQ214+AQ60+AQ38</f>
        <v>9330000</v>
      </c>
    </row>
    <row r="244" spans="1:43" ht="11.25">
      <c r="A244" s="186"/>
      <c r="B244" s="187"/>
      <c r="C244" s="187"/>
      <c r="D244" s="4"/>
      <c r="E244" s="4"/>
      <c r="F244" s="4"/>
      <c r="G244" s="4"/>
      <c r="H244" s="4"/>
      <c r="I244" s="4"/>
      <c r="J244" s="4"/>
      <c r="K244" s="4"/>
      <c r="AL244" s="4"/>
      <c r="AM244" s="4"/>
      <c r="AN244" s="4"/>
      <c r="AO244" s="4"/>
      <c r="AP244" s="4"/>
      <c r="AQ244" s="4"/>
    </row>
    <row r="245" spans="1:43" ht="11.25" hidden="1">
      <c r="A245" s="186"/>
      <c r="B245" s="187"/>
      <c r="C245" s="187"/>
      <c r="D245" s="4"/>
      <c r="E245" s="4"/>
      <c r="F245" s="4"/>
      <c r="G245" s="4"/>
      <c r="H245" s="4"/>
      <c r="I245" s="188"/>
      <c r="J245" s="188"/>
      <c r="K245" s="188"/>
      <c r="AL245" s="4"/>
      <c r="AM245" s="4"/>
      <c r="AN245" s="4"/>
      <c r="AO245" s="188"/>
      <c r="AP245" s="188"/>
      <c r="AQ245" s="188"/>
    </row>
    <row r="246" spans="1:43" ht="11.25" hidden="1">
      <c r="A246" s="186"/>
      <c r="B246" s="187"/>
      <c r="C246" s="187"/>
      <c r="D246" s="4"/>
      <c r="E246" s="4"/>
      <c r="F246" s="4"/>
      <c r="G246" s="4"/>
      <c r="H246" s="4"/>
      <c r="I246" s="188"/>
      <c r="J246" s="188"/>
      <c r="K246" s="188"/>
      <c r="AL246" s="4"/>
      <c r="AM246" s="4"/>
      <c r="AN246" s="4"/>
      <c r="AO246" s="188"/>
      <c r="AP246" s="188"/>
      <c r="AQ246" s="188"/>
    </row>
    <row r="247" spans="1:43" ht="11.25" hidden="1">
      <c r="A247" s="186"/>
      <c r="B247" s="187"/>
      <c r="C247" s="187"/>
      <c r="D247" s="4"/>
      <c r="E247" s="4"/>
      <c r="F247" s="4"/>
      <c r="G247" s="4"/>
      <c r="H247" s="4"/>
      <c r="I247" s="188"/>
      <c r="J247" s="188"/>
      <c r="K247" s="188"/>
      <c r="AL247" s="4"/>
      <c r="AM247" s="4"/>
      <c r="AN247" s="4"/>
      <c r="AO247" s="188"/>
      <c r="AP247" s="188"/>
      <c r="AQ247" s="188"/>
    </row>
    <row r="248" spans="1:43" ht="11.25" hidden="1">
      <c r="A248" s="186"/>
      <c r="B248" s="187"/>
      <c r="C248" s="187"/>
      <c r="D248" s="4"/>
      <c r="E248" s="4"/>
      <c r="F248" s="4"/>
      <c r="G248" s="4"/>
      <c r="H248" s="4"/>
      <c r="I248" s="188"/>
      <c r="J248" s="188"/>
      <c r="K248" s="188"/>
      <c r="AL248" s="4"/>
      <c r="AM248" s="4"/>
      <c r="AN248" s="4"/>
      <c r="AO248" s="188"/>
      <c r="AP248" s="188"/>
      <c r="AQ248" s="188"/>
    </row>
    <row r="249" spans="1:43" ht="11.25" hidden="1">
      <c r="A249" s="186"/>
      <c r="B249" s="187"/>
      <c r="C249" s="187"/>
      <c r="D249" s="4"/>
      <c r="E249" s="4"/>
      <c r="F249" s="4"/>
      <c r="G249" s="4"/>
      <c r="H249" s="4"/>
      <c r="I249" s="188"/>
      <c r="J249" s="188"/>
      <c r="K249" s="188"/>
      <c r="AL249" s="4"/>
      <c r="AM249" s="4"/>
      <c r="AN249" s="4"/>
      <c r="AO249" s="188"/>
      <c r="AP249" s="188"/>
      <c r="AQ249" s="188"/>
    </row>
    <row r="250" spans="1:43" ht="11.25" hidden="1">
      <c r="A250" s="186"/>
      <c r="B250" s="187"/>
      <c r="C250" s="187"/>
      <c r="D250" s="4"/>
      <c r="E250" s="4"/>
      <c r="F250" s="4"/>
      <c r="G250" s="4"/>
      <c r="H250" s="4"/>
      <c r="I250" s="188"/>
      <c r="J250" s="188"/>
      <c r="K250" s="188"/>
      <c r="AL250" s="4"/>
      <c r="AM250" s="4"/>
      <c r="AN250" s="4"/>
      <c r="AO250" s="188"/>
      <c r="AP250" s="188"/>
      <c r="AQ250" s="188"/>
    </row>
    <row r="251" spans="1:43" ht="11.25" hidden="1">
      <c r="A251" s="186"/>
      <c r="B251" s="187"/>
      <c r="C251" s="187"/>
      <c r="D251" s="4"/>
      <c r="E251" s="4"/>
      <c r="F251" s="4"/>
      <c r="G251" s="4"/>
      <c r="H251" s="4"/>
      <c r="I251" s="188"/>
      <c r="J251" s="188"/>
      <c r="K251" s="188"/>
      <c r="AL251" s="4"/>
      <c r="AM251" s="4"/>
      <c r="AN251" s="4"/>
      <c r="AO251" s="188"/>
      <c r="AP251" s="188"/>
      <c r="AQ251" s="188"/>
    </row>
    <row r="252" spans="1:43" ht="11.25" hidden="1">
      <c r="A252" s="186"/>
      <c r="B252" s="187"/>
      <c r="C252" s="187"/>
      <c r="D252" s="4"/>
      <c r="E252" s="4"/>
      <c r="F252" s="4"/>
      <c r="G252" s="4"/>
      <c r="H252" s="4"/>
      <c r="I252" s="188"/>
      <c r="J252" s="188"/>
      <c r="K252" s="188"/>
      <c r="AL252" s="4"/>
      <c r="AM252" s="4"/>
      <c r="AN252" s="4"/>
      <c r="AO252" s="188"/>
      <c r="AP252" s="188"/>
      <c r="AQ252" s="188"/>
    </row>
    <row r="253" spans="1:43" ht="11.25" hidden="1">
      <c r="A253" s="186"/>
      <c r="B253" s="187"/>
      <c r="C253" s="187"/>
      <c r="D253" s="4"/>
      <c r="E253" s="4"/>
      <c r="F253" s="4"/>
      <c r="G253" s="4"/>
      <c r="H253" s="4"/>
      <c r="I253" s="188"/>
      <c r="J253" s="188"/>
      <c r="K253" s="188"/>
      <c r="AL253" s="4"/>
      <c r="AM253" s="4"/>
      <c r="AN253" s="4"/>
      <c r="AO253" s="188"/>
      <c r="AP253" s="188"/>
      <c r="AQ253" s="188"/>
    </row>
    <row r="254" spans="1:43" ht="11.25" hidden="1">
      <c r="A254" s="186"/>
      <c r="B254" s="187"/>
      <c r="C254" s="187"/>
      <c r="D254" s="4"/>
      <c r="E254" s="4"/>
      <c r="F254" s="4"/>
      <c r="G254" s="4"/>
      <c r="H254" s="4"/>
      <c r="I254" s="188"/>
      <c r="J254" s="188"/>
      <c r="K254" s="188"/>
      <c r="AL254" s="4"/>
      <c r="AM254" s="4"/>
      <c r="AN254" s="4"/>
      <c r="AO254" s="188"/>
      <c r="AP254" s="188"/>
      <c r="AQ254" s="188"/>
    </row>
    <row r="255" spans="1:43" ht="11.25" hidden="1">
      <c r="A255" s="186"/>
      <c r="B255" s="187"/>
      <c r="C255" s="187"/>
      <c r="D255" s="4"/>
      <c r="E255" s="4"/>
      <c r="F255" s="4"/>
      <c r="G255" s="4"/>
      <c r="H255" s="4"/>
      <c r="I255" s="188"/>
      <c r="J255" s="188"/>
      <c r="K255" s="188"/>
      <c r="AL255" s="4"/>
      <c r="AM255" s="4"/>
      <c r="AN255" s="4"/>
      <c r="AO255" s="188"/>
      <c r="AP255" s="188"/>
      <c r="AQ255" s="188"/>
    </row>
    <row r="256" spans="1:43" ht="11.25" hidden="1">
      <c r="A256" s="186"/>
      <c r="B256" s="187"/>
      <c r="C256" s="187"/>
      <c r="D256" s="4"/>
      <c r="E256" s="4"/>
      <c r="F256" s="4"/>
      <c r="G256" s="4"/>
      <c r="H256" s="4"/>
      <c r="I256" s="188"/>
      <c r="J256" s="188"/>
      <c r="K256" s="188"/>
      <c r="AL256" s="4"/>
      <c r="AM256" s="4"/>
      <c r="AN256" s="4"/>
      <c r="AO256" s="188"/>
      <c r="AP256" s="188"/>
      <c r="AQ256" s="188"/>
    </row>
    <row r="257" spans="1:43" ht="11.25" hidden="1">
      <c r="A257" s="186"/>
      <c r="B257" s="187"/>
      <c r="C257" s="187"/>
      <c r="D257" s="4"/>
      <c r="E257" s="4"/>
      <c r="F257" s="188">
        <f>+F243-F30</f>
        <v>0</v>
      </c>
      <c r="G257" s="4"/>
      <c r="H257" s="4"/>
      <c r="I257" s="188"/>
      <c r="J257" s="188"/>
      <c r="K257" s="188"/>
      <c r="AL257" s="188" t="e">
        <f>+AL243-AL30</f>
        <v>#VALUE!</v>
      </c>
      <c r="AM257" s="4"/>
      <c r="AN257" s="4"/>
      <c r="AO257" s="188"/>
      <c r="AP257" s="188"/>
      <c r="AQ257" s="188"/>
    </row>
    <row r="258" spans="1:43" ht="11.25" hidden="1">
      <c r="A258" s="186"/>
      <c r="B258" s="187"/>
      <c r="C258" s="187"/>
      <c r="D258" s="4"/>
      <c r="E258" s="4"/>
      <c r="F258" s="4"/>
      <c r="G258" s="4"/>
      <c r="H258" s="4"/>
      <c r="I258" s="188"/>
      <c r="J258" s="188"/>
      <c r="K258" s="188"/>
      <c r="AL258" s="4"/>
      <c r="AM258" s="4"/>
      <c r="AN258" s="4"/>
      <c r="AO258" s="188"/>
      <c r="AP258" s="188"/>
      <c r="AQ258" s="188"/>
    </row>
    <row r="259" spans="1:43" ht="11.25" hidden="1">
      <c r="A259" s="186"/>
      <c r="B259" s="187"/>
      <c r="C259" s="187"/>
      <c r="D259" s="4"/>
      <c r="E259" s="4"/>
      <c r="F259" s="188">
        <f aca="true" t="shared" si="41" ref="F259:K259">+F243-F30</f>
        <v>0</v>
      </c>
      <c r="G259" s="188">
        <f t="shared" si="41"/>
        <v>0</v>
      </c>
      <c r="H259" s="188">
        <f t="shared" si="41"/>
        <v>0</v>
      </c>
      <c r="I259" s="188">
        <f t="shared" si="41"/>
        <v>0</v>
      </c>
      <c r="J259" s="188">
        <f t="shared" si="41"/>
        <v>0</v>
      </c>
      <c r="K259" s="188">
        <f t="shared" si="41"/>
        <v>0</v>
      </c>
      <c r="AL259" s="188" t="e">
        <f aca="true" t="shared" si="42" ref="AL259:AQ259">+AL243-AL30</f>
        <v>#VALUE!</v>
      </c>
      <c r="AM259" s="188">
        <f t="shared" si="42"/>
        <v>0</v>
      </c>
      <c r="AN259" s="188">
        <f t="shared" si="42"/>
        <v>0</v>
      </c>
      <c r="AO259" s="188" t="e">
        <f t="shared" si="42"/>
        <v>#VALUE!</v>
      </c>
      <c r="AP259" s="188">
        <f t="shared" si="42"/>
        <v>0</v>
      </c>
      <c r="AQ259" s="188">
        <f t="shared" si="42"/>
        <v>0</v>
      </c>
    </row>
    <row r="260" spans="1:43" ht="11.25" hidden="1">
      <c r="A260" s="186"/>
      <c r="B260" s="187"/>
      <c r="C260" s="187"/>
      <c r="D260" s="4"/>
      <c r="E260" s="4"/>
      <c r="F260" s="4" t="s">
        <v>435</v>
      </c>
      <c r="G260" s="4"/>
      <c r="H260" s="4"/>
      <c r="I260" s="4"/>
      <c r="J260" s="4"/>
      <c r="K260" s="4"/>
      <c r="AL260" s="4" t="s">
        <v>435</v>
      </c>
      <c r="AM260" s="4"/>
      <c r="AN260" s="4"/>
      <c r="AO260" s="4"/>
      <c r="AP260" s="4"/>
      <c r="AQ260" s="4"/>
    </row>
    <row r="261" spans="5:43" ht="5.25" customHeight="1" hidden="1">
      <c r="E261" s="4"/>
      <c r="F261" s="4"/>
      <c r="G261" s="4"/>
      <c r="H261" s="4"/>
      <c r="I261" s="4"/>
      <c r="J261" s="4"/>
      <c r="K261" s="4"/>
      <c r="AL261" s="4"/>
      <c r="AM261" s="4"/>
      <c r="AN261" s="4"/>
      <c r="AO261" s="4"/>
      <c r="AP261" s="4"/>
      <c r="AQ261" s="4"/>
    </row>
    <row r="262" spans="5:43" ht="12.75" hidden="1">
      <c r="E262" s="189" t="s">
        <v>436</v>
      </c>
      <c r="F262" s="190">
        <f>73497138+7949700+5203277</f>
        <v>86650115</v>
      </c>
      <c r="G262" s="190">
        <f>+I40+I41</f>
        <v>174045000</v>
      </c>
      <c r="H262" s="190">
        <f aca="true" t="shared" si="43" ref="H262:H270">+F262-G262</f>
        <v>-87394885</v>
      </c>
      <c r="I262" s="189"/>
      <c r="J262" s="189"/>
      <c r="K262" s="189"/>
      <c r="AL262" s="190">
        <f>73497138+7949700+5203277</f>
        <v>86650115</v>
      </c>
      <c r="AM262" s="190">
        <f>+AO40+AO41</f>
        <v>152788000</v>
      </c>
      <c r="AN262" s="190">
        <f aca="true" t="shared" si="44" ref="AN262:AN270">+AL262-AM262</f>
        <v>-66137885</v>
      </c>
      <c r="AO262" s="189"/>
      <c r="AP262" s="189"/>
      <c r="AQ262" s="189"/>
    </row>
    <row r="263" spans="5:43" ht="12.75" hidden="1">
      <c r="E263" s="189" t="s">
        <v>437</v>
      </c>
      <c r="F263" s="190">
        <f>480980+119473+624818</f>
        <v>1225271</v>
      </c>
      <c r="G263" s="190">
        <f>+I46+I55+I56+I99</f>
        <v>3403000</v>
      </c>
      <c r="H263" s="190">
        <f t="shared" si="43"/>
        <v>-2177729</v>
      </c>
      <c r="I263" s="189"/>
      <c r="J263" s="189"/>
      <c r="K263" s="189"/>
      <c r="AL263" s="190">
        <f>480980+119473+624818</f>
        <v>1225271</v>
      </c>
      <c r="AM263" s="190">
        <f>+AO46+AO55+AO56+AO99</f>
        <v>2561000</v>
      </c>
      <c r="AN263" s="190">
        <f t="shared" si="44"/>
        <v>-1335729</v>
      </c>
      <c r="AO263" s="189"/>
      <c r="AP263" s="189"/>
      <c r="AQ263" s="189"/>
    </row>
    <row r="264" spans="5:43" ht="12.75" hidden="1">
      <c r="E264" s="189" t="s">
        <v>438</v>
      </c>
      <c r="F264" s="190">
        <f>4107593+600000+40000</f>
        <v>4747593</v>
      </c>
      <c r="G264" s="190">
        <f>+I185+I186+I187+I188</f>
        <v>10963000</v>
      </c>
      <c r="H264" s="190">
        <f t="shared" si="43"/>
        <v>-6215407</v>
      </c>
      <c r="I264" s="189"/>
      <c r="J264" s="189"/>
      <c r="K264" s="189"/>
      <c r="AL264" s="190">
        <f>4107593+600000+40000</f>
        <v>4747593</v>
      </c>
      <c r="AM264" s="190">
        <f>+AO185+AO186+AO187+AO188</f>
        <v>8646000</v>
      </c>
      <c r="AN264" s="190">
        <f t="shared" si="44"/>
        <v>-3898407</v>
      </c>
      <c r="AO264" s="189"/>
      <c r="AP264" s="189"/>
      <c r="AQ264" s="189"/>
    </row>
    <row r="265" spans="5:43" ht="12.75" hidden="1">
      <c r="E265" s="189" t="s">
        <v>439</v>
      </c>
      <c r="F265" s="190"/>
      <c r="G265" s="189"/>
      <c r="H265" s="190">
        <f t="shared" si="43"/>
        <v>0</v>
      </c>
      <c r="I265" s="189"/>
      <c r="J265" s="189"/>
      <c r="K265" s="189"/>
      <c r="AL265" s="190"/>
      <c r="AM265" s="189"/>
      <c r="AN265" s="190">
        <f t="shared" si="44"/>
        <v>0</v>
      </c>
      <c r="AO265" s="189"/>
      <c r="AP265" s="189"/>
      <c r="AQ265" s="189"/>
    </row>
    <row r="266" spans="5:43" ht="12.75" hidden="1">
      <c r="E266" s="189" t="s">
        <v>440</v>
      </c>
      <c r="F266" s="190">
        <f>4194187+260000+400000</f>
        <v>4854187</v>
      </c>
      <c r="G266" s="190">
        <f>+I177+I189+I183</f>
        <v>21091000</v>
      </c>
      <c r="H266" s="190">
        <f t="shared" si="43"/>
        <v>-16236813</v>
      </c>
      <c r="I266" s="189"/>
      <c r="J266" s="189"/>
      <c r="K266" s="189"/>
      <c r="AL266" s="190">
        <f>4194187+260000+400000</f>
        <v>4854187</v>
      </c>
      <c r="AM266" s="190">
        <f>+AO177+AO189+AO183</f>
        <v>8816900</v>
      </c>
      <c r="AN266" s="190">
        <f t="shared" si="44"/>
        <v>-3962713</v>
      </c>
      <c r="AO266" s="189"/>
      <c r="AP266" s="189"/>
      <c r="AQ266" s="189"/>
    </row>
    <row r="267" spans="5:43" ht="12.75" hidden="1">
      <c r="E267" s="189" t="s">
        <v>441</v>
      </c>
      <c r="F267" s="190">
        <v>907742</v>
      </c>
      <c r="G267" s="190">
        <f>+I196+I197</f>
        <v>1636000</v>
      </c>
      <c r="H267" s="190">
        <f t="shared" si="43"/>
        <v>-728258</v>
      </c>
      <c r="I267" s="189"/>
      <c r="J267" s="189"/>
      <c r="K267" s="189"/>
      <c r="AL267" s="190">
        <v>907742</v>
      </c>
      <c r="AM267" s="190">
        <f>+AO196+AO197</f>
        <v>1329000</v>
      </c>
      <c r="AN267" s="190">
        <f t="shared" si="44"/>
        <v>-421258</v>
      </c>
      <c r="AO267" s="189"/>
      <c r="AP267" s="189"/>
      <c r="AQ267" s="189"/>
    </row>
    <row r="268" spans="5:43" ht="12.75" hidden="1">
      <c r="E268" s="189" t="s">
        <v>442</v>
      </c>
      <c r="F268" s="190">
        <f>10188734+1883016</f>
        <v>12071750</v>
      </c>
      <c r="G268" s="190">
        <f>+I66+I68+I170+I171+I172</f>
        <v>28447000</v>
      </c>
      <c r="H268" s="190">
        <f t="shared" si="43"/>
        <v>-16375250</v>
      </c>
      <c r="I268" s="189"/>
      <c r="J268" s="189"/>
      <c r="K268" s="189"/>
      <c r="AL268" s="190">
        <f>10188734+1883016</f>
        <v>12071750</v>
      </c>
      <c r="AM268" s="190">
        <f>+AO66+AO68+AO170+AO171+AO172</f>
        <v>31114000</v>
      </c>
      <c r="AN268" s="190">
        <f t="shared" si="44"/>
        <v>-19042250</v>
      </c>
      <c r="AO268" s="189"/>
      <c r="AP268" s="189"/>
      <c r="AQ268" s="189"/>
    </row>
    <row r="269" spans="5:43" ht="12.75" hidden="1">
      <c r="E269" s="189" t="s">
        <v>443</v>
      </c>
      <c r="F269" s="190">
        <f>5792195+373613+521409</f>
        <v>6687217</v>
      </c>
      <c r="G269" s="190">
        <f>+I47+I57+I62+I69+I75+I83+I88+I90+I92+I100+I118+I122+I158+I167+I174+I175+I193+I201+I214+I218+I223+I173-I196-I197</f>
        <v>16187000</v>
      </c>
      <c r="H269" s="190">
        <f t="shared" si="43"/>
        <v>-9499783</v>
      </c>
      <c r="I269" s="189"/>
      <c r="J269" s="189"/>
      <c r="K269" s="189"/>
      <c r="AL269" s="190">
        <f>5792195+373613+521409</f>
        <v>6687217</v>
      </c>
      <c r="AM269" s="190" t="e">
        <f>+AO47+AO57+AO62+AO69+AO75+AO83+AO88+AO90+AO92+AO100+AO118+AO122+AO158+AO167+AO174+AO175+AO193+AO201+AO214+AO218+AO223+AO173-AO196-AO197</f>
        <v>#VALUE!</v>
      </c>
      <c r="AN269" s="190" t="e">
        <f t="shared" si="44"/>
        <v>#VALUE!</v>
      </c>
      <c r="AO269" s="189"/>
      <c r="AP269" s="189"/>
      <c r="AQ269" s="189"/>
    </row>
    <row r="270" spans="4:43" ht="12.75" hidden="1">
      <c r="D270" s="191"/>
      <c r="E270" s="192"/>
      <c r="F270" s="192">
        <f>SUM(F262:F269)</f>
        <v>117143875</v>
      </c>
      <c r="G270" s="192">
        <f>SUM(G262:G269)</f>
        <v>255772000</v>
      </c>
      <c r="H270" s="190">
        <f t="shared" si="43"/>
        <v>-138628125</v>
      </c>
      <c r="I270" s="192">
        <f>+H270-I245</f>
        <v>-138628125</v>
      </c>
      <c r="J270" s="192"/>
      <c r="K270" s="192"/>
      <c r="AL270" s="192">
        <f>SUM(AL262:AL269)</f>
        <v>117143875</v>
      </c>
      <c r="AM270" s="192" t="e">
        <f>SUM(AM262:AM269)</f>
        <v>#VALUE!</v>
      </c>
      <c r="AN270" s="190" t="e">
        <f t="shared" si="44"/>
        <v>#VALUE!</v>
      </c>
      <c r="AO270" s="192" t="e">
        <f>+AN270-AO245</f>
        <v>#VALUE!</v>
      </c>
      <c r="AP270" s="192"/>
      <c r="AQ270" s="192"/>
    </row>
    <row r="271" spans="5:43" ht="25.5" customHeight="1" hidden="1">
      <c r="E271" s="4"/>
      <c r="F271" s="188">
        <f>+F270-I30</f>
        <v>-140748125</v>
      </c>
      <c r="G271" s="188">
        <f>+G270-I243</f>
        <v>-2120000</v>
      </c>
      <c r="H271" s="190"/>
      <c r="I271" s="188"/>
      <c r="J271" s="4"/>
      <c r="K271" s="4"/>
      <c r="AL271" s="188">
        <f>+AL270-AO30</f>
        <v>-104599949</v>
      </c>
      <c r="AM271" s="188" t="e">
        <f>+AM270-AO243</f>
        <v>#VALUE!</v>
      </c>
      <c r="AN271" s="190"/>
      <c r="AO271" s="188"/>
      <c r="AP271" s="4"/>
      <c r="AQ271" s="4"/>
    </row>
    <row r="272" spans="6:40" ht="18" customHeight="1" hidden="1">
      <c r="F272" s="142"/>
      <c r="G272" s="142"/>
      <c r="H272" s="190"/>
      <c r="AL272" s="142"/>
      <c r="AM272" s="142"/>
      <c r="AN272" s="190"/>
    </row>
    <row r="273" ht="11.25" hidden="1"/>
    <row r="274" ht="11.25" hidden="1"/>
    <row r="275" ht="11.25" hidden="1"/>
    <row r="276" spans="6:38" ht="11.25" hidden="1">
      <c r="F276" s="1" t="s">
        <v>444</v>
      </c>
      <c r="AL276" s="1" t="s">
        <v>444</v>
      </c>
    </row>
    <row r="277" spans="5:39" ht="12.75" hidden="1">
      <c r="E277" s="189" t="s">
        <v>436</v>
      </c>
      <c r="F277" s="142">
        <v>5203277</v>
      </c>
      <c r="G277" s="142"/>
      <c r="AL277" s="142">
        <v>5203277</v>
      </c>
      <c r="AM277" s="142"/>
    </row>
    <row r="278" spans="5:39" ht="12.75" hidden="1">
      <c r="E278" s="189" t="s">
        <v>437</v>
      </c>
      <c r="F278" s="142">
        <v>624818</v>
      </c>
      <c r="G278" s="142"/>
      <c r="AL278" s="142">
        <v>624818</v>
      </c>
      <c r="AM278" s="142"/>
    </row>
    <row r="279" spans="5:39" ht="12.75" hidden="1">
      <c r="E279" s="189"/>
      <c r="F279" s="142"/>
      <c r="G279" s="142"/>
      <c r="AL279" s="142"/>
      <c r="AM279" s="142"/>
    </row>
    <row r="280" spans="5:39" ht="12.75" hidden="1">
      <c r="E280" s="189" t="s">
        <v>438</v>
      </c>
      <c r="F280" s="142">
        <v>40000</v>
      </c>
      <c r="G280" s="142"/>
      <c r="AL280" s="142">
        <v>40000</v>
      </c>
      <c r="AM280" s="142"/>
    </row>
    <row r="281" spans="5:39" ht="12.75" hidden="1">
      <c r="E281" s="189" t="s">
        <v>440</v>
      </c>
      <c r="F281" s="142">
        <f>40000+360000</f>
        <v>400000</v>
      </c>
      <c r="G281" s="142"/>
      <c r="AL281" s="142">
        <f>40000+360000</f>
        <v>400000</v>
      </c>
      <c r="AM281" s="142"/>
    </row>
    <row r="282" spans="5:39" ht="12.75" hidden="1">
      <c r="E282" s="189" t="s">
        <v>443</v>
      </c>
      <c r="F282" s="142">
        <f>961409-F281-F280</f>
        <v>521409</v>
      </c>
      <c r="G282" s="142"/>
      <c r="AL282" s="142">
        <f>961409-AL281-AL280</f>
        <v>521409</v>
      </c>
      <c r="AM282" s="142"/>
    </row>
    <row r="283" spans="5:39" ht="12.75" hidden="1">
      <c r="E283" s="189"/>
      <c r="F283" s="142">
        <f>+F277+F278+F280+F281+F282</f>
        <v>6789504</v>
      </c>
      <c r="G283" s="142"/>
      <c r="AL283" s="142">
        <f>+AL277+AL278+AL280+AL281+AL282</f>
        <v>6789504</v>
      </c>
      <c r="AM283" s="142"/>
    </row>
    <row r="284" spans="6:39" ht="11.25" hidden="1">
      <c r="F284" s="142"/>
      <c r="G284" s="142"/>
      <c r="AL284" s="142"/>
      <c r="AM284" s="142"/>
    </row>
    <row r="285" spans="6:39" ht="11.25" hidden="1">
      <c r="F285" s="142"/>
      <c r="G285" s="142"/>
      <c r="AL285" s="142"/>
      <c r="AM285" s="142"/>
    </row>
    <row r="286" spans="6:39" ht="11.25" hidden="1">
      <c r="F286" s="142"/>
      <c r="G286" s="142"/>
      <c r="AL286" s="142"/>
      <c r="AM286" s="142"/>
    </row>
    <row r="287" ht="11.25" hidden="1"/>
    <row r="288" ht="11.25" hidden="1"/>
    <row r="289" ht="11.25" hidden="1"/>
    <row r="290" ht="11.25" hidden="1"/>
    <row r="291" ht="11.25" hidden="1"/>
    <row r="292" ht="11.25" hidden="1"/>
    <row r="293" ht="11.25" hidden="1"/>
    <row r="294" ht="11.25" hidden="1"/>
    <row r="295" ht="11.25" hidden="1"/>
    <row r="296" ht="11.25" hidden="1"/>
    <row r="297" ht="11.25" hidden="1"/>
    <row r="298" ht="11.25" hidden="1"/>
    <row r="299" ht="11.25" hidden="1"/>
    <row r="300" ht="11.25" hidden="1"/>
    <row r="301" ht="11.25" hidden="1"/>
    <row r="302" ht="11.25" hidden="1"/>
    <row r="303" ht="11.25" hidden="1"/>
    <row r="304" ht="11.25" hidden="1"/>
    <row r="305" ht="11.25" hidden="1"/>
    <row r="306" ht="11.25" hidden="1"/>
    <row r="307" ht="11.25" hidden="1"/>
    <row r="308" ht="11.25" hidden="1"/>
    <row r="309" ht="11.25" hidden="1"/>
    <row r="310" ht="11.25" hidden="1"/>
    <row r="311" ht="11.25" hidden="1"/>
    <row r="312" ht="11.25" hidden="1"/>
    <row r="313" ht="11.25" hidden="1"/>
    <row r="314" ht="11.25" hidden="1"/>
    <row r="315" ht="11.25" hidden="1"/>
    <row r="316" ht="11.25" hidden="1"/>
    <row r="317" ht="11.25" hidden="1"/>
    <row r="318" ht="11.25" hidden="1"/>
    <row r="319" ht="11.25" hidden="1"/>
    <row r="320" ht="11.25" hidden="1"/>
    <row r="321" ht="11.25" hidden="1"/>
    <row r="322" ht="11.25" hidden="1"/>
    <row r="323" ht="11.25" hidden="1"/>
    <row r="324" ht="11.25" hidden="1"/>
    <row r="325" ht="11.25" hidden="1"/>
    <row r="326" ht="11.25" hidden="1"/>
    <row r="327" ht="11.25" hidden="1"/>
    <row r="328" ht="11.25" hidden="1"/>
    <row r="329" ht="11.25" hidden="1"/>
    <row r="330" ht="11.25" hidden="1"/>
    <row r="331" ht="11.25" hidden="1"/>
    <row r="332" ht="11.25" hidden="1"/>
    <row r="333" ht="11.25" hidden="1"/>
    <row r="334" ht="11.25" hidden="1"/>
    <row r="335" ht="11.25" hidden="1"/>
    <row r="336" ht="11.25" hidden="1"/>
    <row r="337" ht="11.25" hidden="1"/>
    <row r="338" ht="11.25" hidden="1"/>
    <row r="339" ht="11.25" hidden="1"/>
    <row r="340" ht="11.25" hidden="1"/>
    <row r="341" ht="11.25" hidden="1"/>
    <row r="342" ht="11.25" hidden="1"/>
    <row r="343" ht="11.25" hidden="1"/>
    <row r="344" ht="11.25" hidden="1"/>
    <row r="345" ht="11.25" hidden="1"/>
    <row r="346" ht="11.25" hidden="1"/>
    <row r="347" ht="11.25" hidden="1"/>
    <row r="348" ht="11.25" hidden="1"/>
    <row r="349" ht="11.25" hidden="1"/>
    <row r="350" ht="11.25" hidden="1"/>
    <row r="351" ht="11.25" hidden="1"/>
    <row r="352" ht="11.25" hidden="1"/>
    <row r="353" ht="11.25" hidden="1"/>
    <row r="354" ht="11.25" hidden="1"/>
    <row r="355" ht="11.25" hidden="1"/>
    <row r="356" ht="11.25" hidden="1"/>
    <row r="357" ht="11.25" hidden="1"/>
    <row r="358" ht="11.25" hidden="1"/>
    <row r="359" ht="11.25" hidden="1"/>
    <row r="360" ht="11.25" hidden="1"/>
    <row r="361" ht="11.25" hidden="1"/>
    <row r="362" ht="11.25" hidden="1"/>
    <row r="363" ht="11.25" hidden="1"/>
    <row r="364" ht="11.25" hidden="1"/>
    <row r="365" ht="11.25" hidden="1"/>
    <row r="366" ht="11.25" hidden="1"/>
    <row r="367" ht="11.25" hidden="1"/>
    <row r="368" ht="11.25" hidden="1"/>
    <row r="369" ht="11.25" hidden="1"/>
    <row r="370" ht="11.25" hidden="1"/>
    <row r="371" ht="11.25" hidden="1"/>
    <row r="372" ht="11.25" hidden="1"/>
    <row r="373" ht="11.25" hidden="1"/>
    <row r="374" ht="11.25" hidden="1"/>
    <row r="375" ht="11.25" hidden="1"/>
    <row r="376" ht="11.25" hidden="1"/>
    <row r="377" ht="11.25" hidden="1"/>
    <row r="378" ht="11.25" hidden="1"/>
    <row r="379" ht="11.25" hidden="1"/>
    <row r="380" ht="11.25" hidden="1"/>
    <row r="381" ht="11.25" hidden="1"/>
    <row r="382" ht="11.25" hidden="1"/>
    <row r="383" ht="11.25" hidden="1"/>
    <row r="384" ht="11.25" hidden="1"/>
    <row r="385" ht="11.25" hidden="1"/>
    <row r="386" ht="11.25" hidden="1"/>
    <row r="387" ht="11.25" hidden="1"/>
    <row r="388" ht="11.25" hidden="1"/>
    <row r="389" ht="11.25" hidden="1"/>
    <row r="390" ht="11.25" hidden="1"/>
    <row r="391" ht="11.25" hidden="1"/>
    <row r="392" ht="11.25" hidden="1"/>
    <row r="393" ht="11.25" hidden="1"/>
    <row r="394" ht="11.25" hidden="1"/>
    <row r="395" ht="11.25" hidden="1"/>
    <row r="396" ht="11.25" hidden="1"/>
    <row r="397" ht="11.25" hidden="1"/>
    <row r="398" ht="11.25" hidden="1"/>
    <row r="399" ht="11.25" hidden="1"/>
    <row r="400" ht="11.25" hidden="1"/>
    <row r="401" ht="11.25" hidden="1"/>
    <row r="402" ht="11.25" hidden="1"/>
    <row r="403" ht="11.25" hidden="1"/>
    <row r="404" ht="11.25" hidden="1"/>
    <row r="405" ht="11.25" hidden="1"/>
    <row r="406" ht="11.25" hidden="1"/>
    <row r="407" ht="11.25" hidden="1"/>
    <row r="408" spans="2:3" ht="11.25">
      <c r="B408" s="1" t="s">
        <v>445</v>
      </c>
      <c r="C408" s="1" t="s">
        <v>148</v>
      </c>
    </row>
    <row r="410" ht="11.25">
      <c r="B410" s="1" t="s">
        <v>446</v>
      </c>
    </row>
    <row r="412" ht="11.25">
      <c r="B412" s="1" t="s">
        <v>447</v>
      </c>
    </row>
  </sheetData>
  <sheetProtection selectLockedCells="1" selectUnlockedCells="1"/>
  <mergeCells count="85">
    <mergeCell ref="D214:E214"/>
    <mergeCell ref="D216:E216"/>
    <mergeCell ref="D218:E218"/>
    <mergeCell ref="D223:E223"/>
    <mergeCell ref="D225:E225"/>
    <mergeCell ref="A243:E243"/>
    <mergeCell ref="B159:B165"/>
    <mergeCell ref="B170:B175"/>
    <mergeCell ref="B178:B181"/>
    <mergeCell ref="B185:B186"/>
    <mergeCell ref="B194:B200"/>
    <mergeCell ref="B202:B212"/>
    <mergeCell ref="D118:E118"/>
    <mergeCell ref="D122:E122"/>
    <mergeCell ref="B124:B133"/>
    <mergeCell ref="B136:B141"/>
    <mergeCell ref="B143:B149"/>
    <mergeCell ref="D157:E157"/>
    <mergeCell ref="D91:E91"/>
    <mergeCell ref="B93:B96"/>
    <mergeCell ref="D100:E100"/>
    <mergeCell ref="B104:B105"/>
    <mergeCell ref="B108:B109"/>
    <mergeCell ref="B112:B113"/>
    <mergeCell ref="D61:E61"/>
    <mergeCell ref="B63:B64"/>
    <mergeCell ref="B66:B68"/>
    <mergeCell ref="B70:B74"/>
    <mergeCell ref="B76:B77"/>
    <mergeCell ref="B84:B86"/>
    <mergeCell ref="D47:E47"/>
    <mergeCell ref="D53:E53"/>
    <mergeCell ref="A54:A55"/>
    <mergeCell ref="B54:B55"/>
    <mergeCell ref="D57:E57"/>
    <mergeCell ref="D60:E60"/>
    <mergeCell ref="A37:E37"/>
    <mergeCell ref="D38:E38"/>
    <mergeCell ref="D39:E39"/>
    <mergeCell ref="A40:A44"/>
    <mergeCell ref="B40:B44"/>
    <mergeCell ref="D45:E45"/>
    <mergeCell ref="F33:K33"/>
    <mergeCell ref="AL33:AQ33"/>
    <mergeCell ref="F34:F35"/>
    <mergeCell ref="G34:I34"/>
    <mergeCell ref="J34:J35"/>
    <mergeCell ref="K34:K35"/>
    <mergeCell ref="AL34:AL35"/>
    <mergeCell ref="AM34:AO34"/>
    <mergeCell ref="AP34:AP35"/>
    <mergeCell ref="AQ34:AQ35"/>
    <mergeCell ref="A30:E30"/>
    <mergeCell ref="A33:A35"/>
    <mergeCell ref="B33:B35"/>
    <mergeCell ref="C33:C35"/>
    <mergeCell ref="D33:D35"/>
    <mergeCell ref="E33:E35"/>
    <mergeCell ref="D18:E18"/>
    <mergeCell ref="D20:E20"/>
    <mergeCell ref="D23:E23"/>
    <mergeCell ref="D26:E26"/>
    <mergeCell ref="D27:E27"/>
    <mergeCell ref="D28:E28"/>
    <mergeCell ref="D11:E11"/>
    <mergeCell ref="D12:E12"/>
    <mergeCell ref="D14:E14"/>
    <mergeCell ref="A15:A17"/>
    <mergeCell ref="B15:B17"/>
    <mergeCell ref="C15:C17"/>
    <mergeCell ref="AL7:AQ7"/>
    <mergeCell ref="F8:F9"/>
    <mergeCell ref="G8:I8"/>
    <mergeCell ref="J8:J9"/>
    <mergeCell ref="K8:K9"/>
    <mergeCell ref="AL8:AL9"/>
    <mergeCell ref="AM8:AO8"/>
    <mergeCell ref="AP8:AP9"/>
    <mergeCell ref="AQ8:AQ9"/>
    <mergeCell ref="A7:A9"/>
    <mergeCell ref="B7:B9"/>
    <mergeCell ref="C7:C9"/>
    <mergeCell ref="D7:D9"/>
    <mergeCell ref="E7:E9"/>
    <mergeCell ref="F7:K7"/>
  </mergeCells>
  <dataValidations count="3">
    <dataValidation type="whole" allowBlank="1" showErrorMessage="1" errorTitle="Upozorenje" error="Niste uneli korektnu vrednost!&#10;Ponovite unos." sqref="H243:K243 AN243:AQ243">
      <formula1>0</formula1>
      <formula2>9999999999999</formula2>
    </dataValidation>
    <dataValidation allowBlank="1" showErrorMessage="1" errorTitle="Upozorenje" error="Niste uneli korektnu vrednost!&#10;Ponovite unos." sqref="I157:K157 AO157:AQ157">
      <formula1>0</formula1>
      <formula2>0</formula2>
    </dataValidation>
    <dataValidation type="whole" allowBlank="1" showErrorMessage="1" errorTitle="Upozorenje" error="Niste uneli korektnu vrednost!&#10;Ponovite unos." sqref="I38:K39 AN38:AQ38 AO39:AQ39 I45:K45 AO45:AQ45 I47:K47 AO47:AQ47 F60:K60 AL60:AQ60 H100:K100 AO100:AQ100 I123:K123 AO123:AQ123 I134:K134 AO134:AQ134 I169:K169 AO169:AQ169 I176:K176 AO176:AQ176 I184:K184 AO184:AQ184 I193:K193 AO193:AQ193 I201:K201 AO201:AQ201">
      <formula1>0</formula1>
      <formula2>999999999</formula2>
    </dataValidation>
  </dataValidations>
  <printOptions/>
  <pageMargins left="0.25" right="0.2" top="0.5" bottom="0.5" header="0.5118055555555555" footer="0.511805555555555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9"/>
  <sheetViews>
    <sheetView zoomScale="80" zoomScaleNormal="80" zoomScalePageLayoutView="0" workbookViewId="0" topLeftCell="A173">
      <selection activeCell="H199" sqref="H199"/>
    </sheetView>
  </sheetViews>
  <sheetFormatPr defaultColWidth="9.140625" defaultRowHeight="15"/>
  <cols>
    <col min="1" max="1" width="3.28125" style="1" customWidth="1"/>
    <col min="2" max="2" width="8.421875" style="1" customWidth="1"/>
    <col min="3" max="4" width="9.140625" style="1" customWidth="1"/>
    <col min="5" max="5" width="55.8515625" style="1" customWidth="1"/>
    <col min="6" max="7" width="13.57421875" style="1" customWidth="1"/>
    <col min="8" max="9" width="12.7109375" style="1" customWidth="1"/>
    <col min="10" max="11" width="13.140625" style="1" customWidth="1"/>
    <col min="12" max="12" width="12.57421875" style="193" customWidth="1"/>
    <col min="13" max="13" width="14.00390625" style="142" customWidth="1"/>
    <col min="14" max="14" width="12.140625" style="1" customWidth="1"/>
    <col min="15" max="15" width="11.7109375" style="1" customWidth="1"/>
    <col min="16" max="16" width="11.8515625" style="1" customWidth="1"/>
    <col min="17" max="17" width="12.8515625" style="1" customWidth="1"/>
    <col min="18" max="18" width="12.28125" style="1" customWidth="1"/>
    <col min="19" max="19" width="11.421875" style="1" customWidth="1"/>
    <col min="20" max="20" width="11.8515625" style="1" customWidth="1"/>
    <col min="21" max="16384" width="9.140625" style="1" customWidth="1"/>
  </cols>
  <sheetData>
    <row r="1" spans="1:5" ht="18" customHeight="1">
      <c r="A1" s="3" t="s">
        <v>448</v>
      </c>
      <c r="B1" s="4"/>
      <c r="C1" s="4"/>
      <c r="D1" s="4"/>
      <c r="E1" s="4"/>
    </row>
    <row r="2" spans="1:5" ht="11.25">
      <c r="A2" s="5"/>
      <c r="B2" s="4"/>
      <c r="C2" s="4"/>
      <c r="D2" s="4"/>
      <c r="E2" s="4"/>
    </row>
    <row r="3" spans="1:5" ht="8.25" customHeight="1">
      <c r="A3" s="4"/>
      <c r="B3" s="4"/>
      <c r="C3" s="4"/>
      <c r="D3" s="4"/>
      <c r="E3" s="4"/>
    </row>
    <row r="4" spans="1:5" ht="13.5">
      <c r="A4" s="4"/>
      <c r="B4" s="4"/>
      <c r="C4" s="4"/>
      <c r="D4" s="4"/>
      <c r="E4" s="6" t="s">
        <v>449</v>
      </c>
    </row>
    <row r="5" spans="1:5" ht="7.5" customHeight="1">
      <c r="A5" s="4"/>
      <c r="B5" s="4"/>
      <c r="C5" s="4"/>
      <c r="D5" s="4"/>
      <c r="E5" s="4"/>
    </row>
    <row r="6" spans="1:5" ht="11.25">
      <c r="A6" s="7" t="s">
        <v>2</v>
      </c>
      <c r="B6" s="4"/>
      <c r="C6" s="4"/>
      <c r="D6" s="4"/>
      <c r="E6" s="4"/>
    </row>
    <row r="7" spans="1:16" ht="12" customHeight="1">
      <c r="A7" s="283" t="s">
        <v>3</v>
      </c>
      <c r="B7" s="284" t="s">
        <v>4</v>
      </c>
      <c r="C7" s="283" t="s">
        <v>5</v>
      </c>
      <c r="D7" s="284" t="s">
        <v>6</v>
      </c>
      <c r="E7" s="284" t="s">
        <v>7</v>
      </c>
      <c r="F7" s="284" t="s">
        <v>450</v>
      </c>
      <c r="G7" s="284"/>
      <c r="H7" s="284"/>
      <c r="I7" s="284"/>
      <c r="J7" s="284"/>
      <c r="K7" s="8"/>
      <c r="L7" s="310" t="s">
        <v>451</v>
      </c>
      <c r="M7" s="284" t="s">
        <v>452</v>
      </c>
      <c r="N7" s="284"/>
      <c r="O7" s="284"/>
      <c r="P7" s="310" t="s">
        <v>451</v>
      </c>
    </row>
    <row r="8" spans="1:16" ht="12" customHeight="1">
      <c r="A8" s="283"/>
      <c r="B8" s="284"/>
      <c r="C8" s="283"/>
      <c r="D8" s="284"/>
      <c r="E8" s="284"/>
      <c r="F8" s="311" t="s">
        <v>453</v>
      </c>
      <c r="G8" s="31"/>
      <c r="H8" s="312" t="s">
        <v>454</v>
      </c>
      <c r="I8" s="195"/>
      <c r="J8" s="312" t="s">
        <v>455</v>
      </c>
      <c r="K8" s="195"/>
      <c r="L8" s="310"/>
      <c r="M8" s="311" t="s">
        <v>453</v>
      </c>
      <c r="N8" s="312" t="s">
        <v>454</v>
      </c>
      <c r="O8" s="312" t="s">
        <v>455</v>
      </c>
      <c r="P8" s="310"/>
    </row>
    <row r="9" spans="1:16" ht="11.25">
      <c r="A9" s="283"/>
      <c r="B9" s="284"/>
      <c r="C9" s="283"/>
      <c r="D9" s="284"/>
      <c r="E9" s="284"/>
      <c r="F9" s="311"/>
      <c r="G9" s="26"/>
      <c r="H9" s="312"/>
      <c r="I9" s="194"/>
      <c r="J9" s="312"/>
      <c r="K9" s="194"/>
      <c r="L9" s="310"/>
      <c r="M9" s="311"/>
      <c r="N9" s="312"/>
      <c r="O9" s="312"/>
      <c r="P9" s="310"/>
    </row>
    <row r="10" spans="1:16" ht="11.25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9"/>
      <c r="G10" s="9"/>
      <c r="H10" s="196"/>
      <c r="I10" s="196"/>
      <c r="J10" s="196"/>
      <c r="K10" s="196"/>
      <c r="L10" s="197"/>
      <c r="M10" s="9"/>
      <c r="N10" s="196"/>
      <c r="O10" s="196"/>
      <c r="P10" s="197"/>
    </row>
    <row r="11" spans="1:16" ht="12" customHeight="1">
      <c r="A11" s="10" t="s">
        <v>17</v>
      </c>
      <c r="B11" s="15" t="s">
        <v>456</v>
      </c>
      <c r="C11" s="15"/>
      <c r="D11" s="287" t="s">
        <v>20</v>
      </c>
      <c r="E11" s="287"/>
      <c r="F11" s="132">
        <f>+F13+F18+F16</f>
        <v>0</v>
      </c>
      <c r="G11" s="132"/>
      <c r="H11" s="132">
        <f>+H13+H18+H16</f>
        <v>0</v>
      </c>
      <c r="I11" s="132"/>
      <c r="J11" s="132">
        <f>+J13+J18+J16</f>
        <v>0</v>
      </c>
      <c r="K11" s="198"/>
      <c r="L11" s="199"/>
      <c r="M11" s="132">
        <f>+M13+M18+M16</f>
        <v>19643855</v>
      </c>
      <c r="N11" s="132">
        <f>+N13+N18+N16</f>
        <v>4635356</v>
      </c>
      <c r="O11" s="132">
        <f>+O13+O18+O16</f>
        <v>6490099</v>
      </c>
      <c r="P11" s="199">
        <f aca="true" t="shared" si="0" ref="P11:P23">+M11+N11+O11</f>
        <v>30769310</v>
      </c>
    </row>
    <row r="12" spans="1:16" ht="30.75" customHeight="1">
      <c r="A12" s="10"/>
      <c r="B12" s="15"/>
      <c r="C12" s="18"/>
      <c r="D12" s="8">
        <v>741411</v>
      </c>
      <c r="E12" s="19" t="s">
        <v>21</v>
      </c>
      <c r="F12" s="132"/>
      <c r="G12" s="132"/>
      <c r="H12" s="200"/>
      <c r="I12" s="200"/>
      <c r="J12" s="200"/>
      <c r="K12" s="200"/>
      <c r="L12" s="199"/>
      <c r="M12" s="132"/>
      <c r="N12" s="200"/>
      <c r="O12" s="200"/>
      <c r="P12" s="199">
        <f t="shared" si="0"/>
        <v>0</v>
      </c>
    </row>
    <row r="13" spans="1:16" ht="12" customHeight="1">
      <c r="A13" s="10">
        <v>1</v>
      </c>
      <c r="B13" s="11">
        <v>742000</v>
      </c>
      <c r="C13" s="20"/>
      <c r="D13" s="287" t="s">
        <v>22</v>
      </c>
      <c r="E13" s="287"/>
      <c r="F13" s="132">
        <f>+F14+F15</f>
        <v>0</v>
      </c>
      <c r="G13" s="132"/>
      <c r="H13" s="17">
        <f>+H14+H15</f>
        <v>0</v>
      </c>
      <c r="I13" s="17"/>
      <c r="J13" s="17">
        <f>+J14+J15</f>
        <v>0</v>
      </c>
      <c r="K13" s="13"/>
      <c r="L13" s="199">
        <f>+F13+H13+J13</f>
        <v>0</v>
      </c>
      <c r="M13" s="132">
        <f>+M14+M15</f>
        <v>19379118</v>
      </c>
      <c r="N13" s="17">
        <f>+N14+N15</f>
        <v>4322163</v>
      </c>
      <c r="O13" s="17">
        <f>+O14+O15</f>
        <v>5870099</v>
      </c>
      <c r="P13" s="199">
        <f t="shared" si="0"/>
        <v>29571380</v>
      </c>
    </row>
    <row r="14" spans="1:16" ht="19.5" customHeight="1">
      <c r="A14" s="288"/>
      <c r="B14" s="284"/>
      <c r="C14" s="284"/>
      <c r="D14" s="8" t="s">
        <v>23</v>
      </c>
      <c r="E14" s="19" t="s">
        <v>24</v>
      </c>
      <c r="F14" s="198"/>
      <c r="G14" s="198"/>
      <c r="H14" s="200"/>
      <c r="I14" s="200"/>
      <c r="J14" s="200"/>
      <c r="K14" s="200"/>
      <c r="L14" s="199"/>
      <c r="M14" s="198">
        <f>1817240+9712916+6254276+355468+256107</f>
        <v>18396007</v>
      </c>
      <c r="N14" s="200">
        <f>433892+220198+2271292+1321321+4400+43431</f>
        <v>4294534</v>
      </c>
      <c r="O14" s="200">
        <f>567822+1103055+3340529+711035+46475+73311</f>
        <v>5842227</v>
      </c>
      <c r="P14" s="199">
        <f t="shared" si="0"/>
        <v>28532768</v>
      </c>
    </row>
    <row r="15" spans="1:16" ht="17.25" customHeight="1">
      <c r="A15" s="288"/>
      <c r="B15" s="284"/>
      <c r="C15" s="284"/>
      <c r="D15" s="22">
        <v>742122</v>
      </c>
      <c r="E15" s="19" t="s">
        <v>26</v>
      </c>
      <c r="F15" s="198"/>
      <c r="G15" s="198"/>
      <c r="H15" s="200"/>
      <c r="I15" s="200"/>
      <c r="J15" s="200"/>
      <c r="K15" s="200"/>
      <c r="L15" s="199"/>
      <c r="M15" s="198">
        <v>983111</v>
      </c>
      <c r="N15" s="200">
        <v>27629</v>
      </c>
      <c r="O15" s="200">
        <v>27872</v>
      </c>
      <c r="P15" s="199">
        <f t="shared" si="0"/>
        <v>1038612</v>
      </c>
    </row>
    <row r="16" spans="1:16" ht="15" customHeight="1">
      <c r="A16" s="23">
        <v>2</v>
      </c>
      <c r="B16" s="24">
        <v>744000</v>
      </c>
      <c r="C16" s="25"/>
      <c r="D16" s="287" t="s">
        <v>27</v>
      </c>
      <c r="E16" s="287"/>
      <c r="F16" s="132"/>
      <c r="G16" s="132"/>
      <c r="H16" s="201"/>
      <c r="I16" s="201"/>
      <c r="J16" s="201">
        <f>+J17</f>
        <v>0</v>
      </c>
      <c r="K16" s="200"/>
      <c r="L16" s="199">
        <f>+F16+H16+J16</f>
        <v>0</v>
      </c>
      <c r="M16" s="132"/>
      <c r="N16" s="201"/>
      <c r="O16" s="201">
        <f>+O17</f>
        <v>320000</v>
      </c>
      <c r="P16" s="199">
        <f t="shared" si="0"/>
        <v>320000</v>
      </c>
    </row>
    <row r="17" spans="1:16" ht="20.25" customHeight="1">
      <c r="A17" s="23"/>
      <c r="B17" s="26"/>
      <c r="C17" s="25"/>
      <c r="D17" s="8">
        <v>744121</v>
      </c>
      <c r="E17" s="19" t="s">
        <v>28</v>
      </c>
      <c r="F17" s="198"/>
      <c r="G17" s="198"/>
      <c r="H17" s="200"/>
      <c r="I17" s="200"/>
      <c r="J17" s="200"/>
      <c r="K17" s="200"/>
      <c r="L17" s="199"/>
      <c r="M17" s="198"/>
      <c r="N17" s="200"/>
      <c r="O17" s="200">
        <v>320000</v>
      </c>
      <c r="P17" s="199">
        <f t="shared" si="0"/>
        <v>320000</v>
      </c>
    </row>
    <row r="18" spans="1:16" ht="12" customHeight="1">
      <c r="A18" s="10">
        <v>3</v>
      </c>
      <c r="B18" s="11">
        <v>745000</v>
      </c>
      <c r="C18" s="20"/>
      <c r="D18" s="287" t="s">
        <v>29</v>
      </c>
      <c r="E18" s="287"/>
      <c r="F18" s="132">
        <f>+F20+F19</f>
        <v>0</v>
      </c>
      <c r="G18" s="132"/>
      <c r="H18" s="17">
        <f>+H20+H19</f>
        <v>0</v>
      </c>
      <c r="I18" s="17"/>
      <c r="J18" s="17">
        <f>+J20+J19</f>
        <v>0</v>
      </c>
      <c r="K18" s="13"/>
      <c r="L18" s="199">
        <f aca="true" t="shared" si="1" ref="L18:L23">+F18+H18+J18</f>
        <v>0</v>
      </c>
      <c r="M18" s="132">
        <f>+M20+M19</f>
        <v>264737</v>
      </c>
      <c r="N18" s="17">
        <f>+N20+N19</f>
        <v>313193</v>
      </c>
      <c r="O18" s="17">
        <f>+O20+O19</f>
        <v>300000</v>
      </c>
      <c r="P18" s="199">
        <f t="shared" si="0"/>
        <v>877930</v>
      </c>
    </row>
    <row r="19" spans="1:16" ht="11.25">
      <c r="A19" s="10"/>
      <c r="B19" s="27"/>
      <c r="C19" s="28"/>
      <c r="D19" s="8">
        <v>745122</v>
      </c>
      <c r="E19" s="12" t="s">
        <v>30</v>
      </c>
      <c r="F19" s="198"/>
      <c r="G19" s="198"/>
      <c r="H19" s="197"/>
      <c r="I19" s="197"/>
      <c r="J19" s="197"/>
      <c r="K19" s="197"/>
      <c r="L19" s="199">
        <f t="shared" si="1"/>
        <v>0</v>
      </c>
      <c r="M19" s="198">
        <v>179737</v>
      </c>
      <c r="N19" s="197">
        <v>12000</v>
      </c>
      <c r="O19" s="197"/>
      <c r="P19" s="199">
        <f t="shared" si="0"/>
        <v>191737</v>
      </c>
    </row>
    <row r="20" spans="1:16" ht="17.25" customHeight="1">
      <c r="A20" s="29"/>
      <c r="B20" s="26"/>
      <c r="C20" s="26"/>
      <c r="D20" s="8" t="s">
        <v>31</v>
      </c>
      <c r="E20" s="12" t="s">
        <v>32</v>
      </c>
      <c r="F20" s="198"/>
      <c r="G20" s="198"/>
      <c r="H20" s="197"/>
      <c r="I20" s="197"/>
      <c r="J20" s="197"/>
      <c r="K20" s="197"/>
      <c r="L20" s="199">
        <f t="shared" si="1"/>
        <v>0</v>
      </c>
      <c r="M20" s="198">
        <v>85000</v>
      </c>
      <c r="N20" s="197">
        <f>296193+5000</f>
        <v>301193</v>
      </c>
      <c r="O20" s="197">
        <v>300000</v>
      </c>
      <c r="P20" s="199">
        <f t="shared" si="0"/>
        <v>686193</v>
      </c>
    </row>
    <row r="21" spans="1:16" ht="12.75" customHeight="1">
      <c r="A21" s="10" t="s">
        <v>33</v>
      </c>
      <c r="B21" s="40" t="s">
        <v>38</v>
      </c>
      <c r="C21" s="40"/>
      <c r="D21" s="287" t="s">
        <v>39</v>
      </c>
      <c r="E21" s="287"/>
      <c r="F21" s="202"/>
      <c r="G21" s="203"/>
      <c r="H21" s="197"/>
      <c r="I21" s="197"/>
      <c r="J21" s="197"/>
      <c r="K21" s="197"/>
      <c r="L21" s="199">
        <f t="shared" si="1"/>
        <v>0</v>
      </c>
      <c r="M21" s="203"/>
      <c r="N21" s="197"/>
      <c r="O21" s="197"/>
      <c r="P21" s="199">
        <f t="shared" si="0"/>
        <v>0</v>
      </c>
    </row>
    <row r="22" spans="1:16" ht="12" customHeight="1">
      <c r="A22" s="10" t="s">
        <v>37</v>
      </c>
      <c r="B22" s="11">
        <v>791111</v>
      </c>
      <c r="C22" s="20"/>
      <c r="D22" s="287" t="s">
        <v>41</v>
      </c>
      <c r="E22" s="287"/>
      <c r="F22" s="204"/>
      <c r="G22" s="205"/>
      <c r="H22" s="200"/>
      <c r="I22" s="200"/>
      <c r="J22" s="200"/>
      <c r="K22" s="200"/>
      <c r="L22" s="199">
        <f t="shared" si="1"/>
        <v>0</v>
      </c>
      <c r="M22" s="205"/>
      <c r="N22" s="200"/>
      <c r="O22" s="200"/>
      <c r="P22" s="199">
        <f t="shared" si="0"/>
        <v>0</v>
      </c>
    </row>
    <row r="23" spans="1:16" ht="12.75" customHeight="1">
      <c r="A23" s="290" t="s">
        <v>457</v>
      </c>
      <c r="B23" s="290"/>
      <c r="C23" s="290"/>
      <c r="D23" s="290"/>
      <c r="E23" s="290"/>
      <c r="F23" s="52">
        <f>+F11+F21+F22</f>
        <v>0</v>
      </c>
      <c r="G23" s="52"/>
      <c r="H23" s="52">
        <f>+H11+H21+H22</f>
        <v>0</v>
      </c>
      <c r="I23" s="52"/>
      <c r="J23" s="52">
        <f>+J11+J21+J22</f>
        <v>0</v>
      </c>
      <c r="K23" s="206"/>
      <c r="L23" s="207">
        <f t="shared" si="1"/>
        <v>0</v>
      </c>
      <c r="M23" s="52">
        <f>+M11+M21+M22</f>
        <v>19643855</v>
      </c>
      <c r="N23" s="52">
        <f>+N11+N21+N22</f>
        <v>4635356</v>
      </c>
      <c r="O23" s="52">
        <f>+O11+O21+O22</f>
        <v>6490099</v>
      </c>
      <c r="P23" s="207">
        <f t="shared" si="0"/>
        <v>30769310</v>
      </c>
    </row>
    <row r="24" ht="6" customHeight="1"/>
    <row r="25" spans="1:5" ht="13.5">
      <c r="A25" s="48" t="s">
        <v>46</v>
      </c>
      <c r="B25" s="49"/>
      <c r="C25" s="49"/>
      <c r="D25" s="4"/>
      <c r="E25" s="4"/>
    </row>
    <row r="26" spans="1:16" ht="12" customHeight="1">
      <c r="A26" s="291" t="s">
        <v>3</v>
      </c>
      <c r="B26" s="292" t="s">
        <v>47</v>
      </c>
      <c r="C26" s="293" t="s">
        <v>5</v>
      </c>
      <c r="D26" s="294" t="s">
        <v>6</v>
      </c>
      <c r="E26" s="284" t="s">
        <v>7</v>
      </c>
      <c r="F26" s="284" t="s">
        <v>450</v>
      </c>
      <c r="G26" s="284"/>
      <c r="H26" s="284"/>
      <c r="I26" s="284"/>
      <c r="J26" s="284"/>
      <c r="K26" s="8"/>
      <c r="L26" s="310" t="s">
        <v>451</v>
      </c>
      <c r="M26" s="284" t="s">
        <v>452</v>
      </c>
      <c r="N26" s="284"/>
      <c r="O26" s="284"/>
      <c r="P26" s="310" t="s">
        <v>451</v>
      </c>
    </row>
    <row r="27" spans="1:19" ht="12" customHeight="1">
      <c r="A27" s="291"/>
      <c r="B27" s="292"/>
      <c r="C27" s="293"/>
      <c r="D27" s="294"/>
      <c r="E27" s="284"/>
      <c r="F27" s="311" t="s">
        <v>453</v>
      </c>
      <c r="G27" s="31"/>
      <c r="H27" s="312" t="s">
        <v>454</v>
      </c>
      <c r="I27" s="195"/>
      <c r="J27" s="312" t="s">
        <v>455</v>
      </c>
      <c r="K27" s="195"/>
      <c r="L27" s="310"/>
      <c r="M27" s="311" t="s">
        <v>453</v>
      </c>
      <c r="N27" s="312" t="s">
        <v>454</v>
      </c>
      <c r="O27" s="312" t="s">
        <v>455</v>
      </c>
      <c r="P27" s="310"/>
      <c r="Q27" s="311" t="s">
        <v>453</v>
      </c>
      <c r="R27" s="312" t="s">
        <v>454</v>
      </c>
      <c r="S27" s="312" t="s">
        <v>455</v>
      </c>
    </row>
    <row r="28" spans="1:19" ht="11.25">
      <c r="A28" s="291"/>
      <c r="B28" s="292"/>
      <c r="C28" s="293"/>
      <c r="D28" s="294"/>
      <c r="E28" s="284"/>
      <c r="F28" s="311"/>
      <c r="G28" s="26"/>
      <c r="H28" s="312"/>
      <c r="I28" s="194"/>
      <c r="J28" s="312"/>
      <c r="K28" s="194"/>
      <c r="L28" s="310"/>
      <c r="M28" s="311"/>
      <c r="N28" s="312"/>
      <c r="O28" s="312"/>
      <c r="P28" s="310"/>
      <c r="Q28" s="311"/>
      <c r="R28" s="312"/>
      <c r="S28" s="312"/>
    </row>
    <row r="29" spans="1:16" ht="11.25">
      <c r="A29" s="9">
        <v>0</v>
      </c>
      <c r="B29" s="9">
        <v>1</v>
      </c>
      <c r="C29" s="9">
        <v>2</v>
      </c>
      <c r="D29" s="9">
        <v>3</v>
      </c>
      <c r="E29" s="9">
        <v>4</v>
      </c>
      <c r="F29" s="19"/>
      <c r="G29" s="19"/>
      <c r="H29" s="208"/>
      <c r="I29" s="209"/>
      <c r="J29" s="209"/>
      <c r="K29" s="209"/>
      <c r="L29" s="197"/>
      <c r="M29" s="200"/>
      <c r="N29" s="196"/>
      <c r="O29" s="196"/>
      <c r="P29" s="196"/>
    </row>
    <row r="30" spans="1:16" ht="12" customHeight="1">
      <c r="A30" s="296" t="s">
        <v>50</v>
      </c>
      <c r="B30" s="296"/>
      <c r="C30" s="296"/>
      <c r="D30" s="296"/>
      <c r="E30" s="296"/>
      <c r="F30" s="196"/>
      <c r="G30" s="196"/>
      <c r="H30" s="196"/>
      <c r="I30" s="210"/>
      <c r="J30" s="210"/>
      <c r="K30" s="210"/>
      <c r="L30" s="197"/>
      <c r="M30" s="200"/>
      <c r="N30" s="196"/>
      <c r="O30" s="196"/>
      <c r="P30" s="196"/>
    </row>
    <row r="31" spans="1:16" ht="12.75" customHeight="1">
      <c r="A31" s="23" t="s">
        <v>17</v>
      </c>
      <c r="B31" s="51">
        <v>410000</v>
      </c>
      <c r="C31" s="51"/>
      <c r="D31" s="313" t="s">
        <v>51</v>
      </c>
      <c r="E31" s="313"/>
      <c r="F31" s="52">
        <f>+F32+F35+F37+F41+F44</f>
        <v>370895986.1600014</v>
      </c>
      <c r="G31" s="211">
        <f aca="true" t="shared" si="2" ref="G31:G62">+F31/2</f>
        <v>185447993.0800007</v>
      </c>
      <c r="H31" s="52">
        <f>+H32+H35+H37+H41+H44</f>
        <v>128396400.30314903</v>
      </c>
      <c r="I31" s="212">
        <f aca="true" t="shared" si="3" ref="I31:I62">+H31/2</f>
        <v>64198200.151574515</v>
      </c>
      <c r="J31" s="96">
        <f>+J32+J35+J37+J41+J44</f>
        <v>165797970.17867333</v>
      </c>
      <c r="K31" s="213">
        <f aca="true" t="shared" si="4" ref="K31:K62">+J31/2</f>
        <v>82898985.08933666</v>
      </c>
      <c r="L31" s="207">
        <f aca="true" t="shared" si="5" ref="L31:L62">+F31+H31+J31</f>
        <v>665090356.6418238</v>
      </c>
      <c r="M31" s="214"/>
      <c r="N31" s="215"/>
      <c r="O31" s="215"/>
      <c r="P31" s="215"/>
    </row>
    <row r="32" spans="1:20" ht="12.75" customHeight="1">
      <c r="A32" s="54">
        <v>1</v>
      </c>
      <c r="B32" s="11">
        <v>411000</v>
      </c>
      <c r="C32" s="20"/>
      <c r="D32" s="287" t="s">
        <v>52</v>
      </c>
      <c r="E32" s="287"/>
      <c r="F32" s="55">
        <f>+F33+F34</f>
        <v>361517231</v>
      </c>
      <c r="G32" s="216">
        <f t="shared" si="2"/>
        <v>180758615.5</v>
      </c>
      <c r="H32" s="55">
        <f>+H33+H34</f>
        <v>121627209.12</v>
      </c>
      <c r="I32" s="217">
        <f t="shared" si="3"/>
        <v>60813604.56</v>
      </c>
      <c r="J32" s="218">
        <f>+J33+J34</f>
        <v>163808560.36800003</v>
      </c>
      <c r="K32" s="219">
        <f t="shared" si="4"/>
        <v>81904280.18400002</v>
      </c>
      <c r="L32" s="199">
        <f t="shared" si="5"/>
        <v>646953000.488</v>
      </c>
      <c r="M32" s="200"/>
      <c r="N32" s="196"/>
      <c r="O32" s="196"/>
      <c r="P32" s="196"/>
      <c r="Q32" s="220">
        <f>+Q33+Q34</f>
        <v>150632179.58333334</v>
      </c>
      <c r="R32" s="220">
        <f>+R33+R34</f>
        <v>50678003.8</v>
      </c>
      <c r="S32" s="220">
        <f>+S33+S34</f>
        <v>68253566.82000002</v>
      </c>
      <c r="T32" s="220">
        <f>SUM(Q32:S32)</f>
        <v>269563750.2033334</v>
      </c>
    </row>
    <row r="33" spans="1:19" ht="11.25">
      <c r="A33" s="298"/>
      <c r="B33" s="299"/>
      <c r="C33" s="56" t="s">
        <v>53</v>
      </c>
      <c r="D33" s="8">
        <v>411100</v>
      </c>
      <c r="E33" s="19" t="s">
        <v>458</v>
      </c>
      <c r="F33" s="221">
        <v>307289646</v>
      </c>
      <c r="G33" s="216">
        <f t="shared" si="2"/>
        <v>153644823</v>
      </c>
      <c r="H33" s="222">
        <v>103383127.752</v>
      </c>
      <c r="I33" s="217">
        <f t="shared" si="3"/>
        <v>51691563.876</v>
      </c>
      <c r="J33" s="223">
        <v>139237276.31280002</v>
      </c>
      <c r="K33" s="219">
        <f t="shared" si="4"/>
        <v>69618638.15640001</v>
      </c>
      <c r="L33" s="197">
        <f t="shared" si="5"/>
        <v>549910050.0648</v>
      </c>
      <c r="M33" s="200"/>
      <c r="N33" s="196"/>
      <c r="O33" s="196"/>
      <c r="P33" s="196"/>
      <c r="Q33" s="142">
        <f>+F33/12*5</f>
        <v>128037352.5</v>
      </c>
      <c r="R33" s="142">
        <f>+H33/12*5</f>
        <v>43076303.23</v>
      </c>
      <c r="S33" s="142">
        <f>+J33/12*5</f>
        <v>58015531.79700001</v>
      </c>
    </row>
    <row r="34" spans="1:19" ht="16.5" customHeight="1">
      <c r="A34" s="298"/>
      <c r="B34" s="299"/>
      <c r="C34" s="56" t="s">
        <v>54</v>
      </c>
      <c r="D34" s="8">
        <v>412000</v>
      </c>
      <c r="E34" s="19" t="s">
        <v>55</v>
      </c>
      <c r="F34" s="224">
        <v>54227585</v>
      </c>
      <c r="G34" s="216">
        <f t="shared" si="2"/>
        <v>27113792.5</v>
      </c>
      <c r="H34" s="216">
        <v>18244081.368</v>
      </c>
      <c r="I34" s="217">
        <f t="shared" si="3"/>
        <v>9122040.684</v>
      </c>
      <c r="J34" s="219">
        <v>24571284.055200003</v>
      </c>
      <c r="K34" s="219">
        <f t="shared" si="4"/>
        <v>12285642.027600002</v>
      </c>
      <c r="L34" s="197">
        <f t="shared" si="5"/>
        <v>97042950.42320001</v>
      </c>
      <c r="M34" s="200"/>
      <c r="N34" s="196"/>
      <c r="O34" s="196"/>
      <c r="P34" s="196"/>
      <c r="Q34" s="142">
        <f>+F34/12*5</f>
        <v>22594827.083333336</v>
      </c>
      <c r="R34" s="142">
        <f>+H34/12*5</f>
        <v>7601700.57</v>
      </c>
      <c r="S34" s="142">
        <f>+J34/12*5</f>
        <v>10238035.023000002</v>
      </c>
    </row>
    <row r="35" spans="1:16" ht="14.25" customHeight="1">
      <c r="A35" s="54">
        <v>2</v>
      </c>
      <c r="B35" s="11">
        <v>413000</v>
      </c>
      <c r="C35" s="20"/>
      <c r="D35" s="303" t="s">
        <v>60</v>
      </c>
      <c r="E35" s="303"/>
      <c r="F35" s="55">
        <f>+F36</f>
        <v>0</v>
      </c>
      <c r="G35" s="216">
        <f t="shared" si="2"/>
        <v>0</v>
      </c>
      <c r="H35" s="55">
        <f>+H36</f>
        <v>0</v>
      </c>
      <c r="I35" s="217">
        <f t="shared" si="3"/>
        <v>0</v>
      </c>
      <c r="J35" s="225">
        <f>+J36</f>
        <v>0</v>
      </c>
      <c r="K35" s="219">
        <f t="shared" si="4"/>
        <v>0</v>
      </c>
      <c r="L35" s="197">
        <f t="shared" si="5"/>
        <v>0</v>
      </c>
      <c r="M35" s="200"/>
      <c r="N35" s="196"/>
      <c r="O35" s="196"/>
      <c r="P35" s="196"/>
    </row>
    <row r="36" spans="1:16" ht="12.75" customHeight="1">
      <c r="A36" s="56"/>
      <c r="B36" s="4"/>
      <c r="C36" s="56" t="s">
        <v>61</v>
      </c>
      <c r="D36" s="8">
        <v>413151</v>
      </c>
      <c r="E36" s="19" t="s">
        <v>62</v>
      </c>
      <c r="F36" s="222"/>
      <c r="G36" s="216">
        <f t="shared" si="2"/>
        <v>0</v>
      </c>
      <c r="H36" s="222"/>
      <c r="I36" s="217">
        <f t="shared" si="3"/>
        <v>0</v>
      </c>
      <c r="J36" s="226"/>
      <c r="K36" s="219">
        <f t="shared" si="4"/>
        <v>0</v>
      </c>
      <c r="L36" s="197">
        <f t="shared" si="5"/>
        <v>0</v>
      </c>
      <c r="M36" s="200"/>
      <c r="N36" s="196"/>
      <c r="O36" s="196"/>
      <c r="P36" s="196"/>
    </row>
    <row r="37" spans="1:16" ht="12" customHeight="1">
      <c r="A37" s="54">
        <v>3</v>
      </c>
      <c r="B37" s="11">
        <v>414000</v>
      </c>
      <c r="C37" s="20"/>
      <c r="D37" s="303" t="s">
        <v>63</v>
      </c>
      <c r="E37" s="303"/>
      <c r="F37" s="55">
        <f>+F38+F39+F40</f>
        <v>324546.1600013769</v>
      </c>
      <c r="G37" s="216">
        <f t="shared" si="2"/>
        <v>162273.08000068844</v>
      </c>
      <c r="H37" s="55">
        <f>+H38+H39+H40</f>
        <v>44337.18314902672</v>
      </c>
      <c r="I37" s="217">
        <f t="shared" si="3"/>
        <v>22168.59157451336</v>
      </c>
      <c r="J37" s="225">
        <f>+J38+J39+J40</f>
        <v>154293.81067328318</v>
      </c>
      <c r="K37" s="219">
        <f t="shared" si="4"/>
        <v>77146.90533664159</v>
      </c>
      <c r="L37" s="199">
        <f t="shared" si="5"/>
        <v>523177.15382368676</v>
      </c>
      <c r="M37" s="200"/>
      <c r="N37" s="196"/>
      <c r="O37" s="196"/>
      <c r="P37" s="196"/>
    </row>
    <row r="38" spans="1:16" ht="12">
      <c r="A38" s="121"/>
      <c r="B38" s="72"/>
      <c r="C38" s="54" t="s">
        <v>64</v>
      </c>
      <c r="D38" s="8">
        <v>414311</v>
      </c>
      <c r="E38" s="19" t="s">
        <v>65</v>
      </c>
      <c r="F38" s="222">
        <v>324546.1600013769</v>
      </c>
      <c r="G38" s="216">
        <f t="shared" si="2"/>
        <v>162273.08000068844</v>
      </c>
      <c r="H38" s="222">
        <v>44337.18314902672</v>
      </c>
      <c r="I38" s="217">
        <f t="shared" si="3"/>
        <v>22168.59157451336</v>
      </c>
      <c r="J38" s="226">
        <v>154293.81067328318</v>
      </c>
      <c r="K38" s="219">
        <f t="shared" si="4"/>
        <v>77146.90533664159</v>
      </c>
      <c r="L38" s="197">
        <f t="shared" si="5"/>
        <v>523177.15382368676</v>
      </c>
      <c r="M38" s="200"/>
      <c r="N38" s="196"/>
      <c r="O38" s="196"/>
      <c r="P38" s="196"/>
    </row>
    <row r="39" spans="1:16" ht="12">
      <c r="A39" s="123"/>
      <c r="B39" s="75"/>
      <c r="C39" s="54" t="s">
        <v>66</v>
      </c>
      <c r="D39" s="8">
        <v>414314</v>
      </c>
      <c r="E39" s="19" t="s">
        <v>67</v>
      </c>
      <c r="F39" s="222"/>
      <c r="G39" s="216">
        <f t="shared" si="2"/>
        <v>0</v>
      </c>
      <c r="H39" s="222"/>
      <c r="I39" s="217">
        <f t="shared" si="3"/>
        <v>0</v>
      </c>
      <c r="J39" s="226"/>
      <c r="K39" s="219">
        <f t="shared" si="4"/>
        <v>0</v>
      </c>
      <c r="L39" s="197">
        <f t="shared" si="5"/>
        <v>0</v>
      </c>
      <c r="M39" s="200"/>
      <c r="N39" s="196"/>
      <c r="O39" s="196"/>
      <c r="P39" s="196"/>
    </row>
    <row r="40" spans="1:16" ht="22.5" customHeight="1">
      <c r="A40" s="136"/>
      <c r="B40" s="79"/>
      <c r="C40" s="54" t="s">
        <v>68</v>
      </c>
      <c r="D40" s="8">
        <v>414400</v>
      </c>
      <c r="E40" s="227" t="s">
        <v>69</v>
      </c>
      <c r="F40" s="222"/>
      <c r="G40" s="216">
        <f t="shared" si="2"/>
        <v>0</v>
      </c>
      <c r="H40" s="222"/>
      <c r="I40" s="217">
        <f t="shared" si="3"/>
        <v>0</v>
      </c>
      <c r="J40" s="226"/>
      <c r="K40" s="219">
        <f t="shared" si="4"/>
        <v>0</v>
      </c>
      <c r="L40" s="197">
        <f t="shared" si="5"/>
        <v>0</v>
      </c>
      <c r="M40" s="200"/>
      <c r="N40" s="196"/>
      <c r="O40" s="196"/>
      <c r="P40" s="196"/>
    </row>
    <row r="41" spans="1:16" ht="12" customHeight="1">
      <c r="A41" s="54">
        <v>4</v>
      </c>
      <c r="B41" s="11">
        <v>415000</v>
      </c>
      <c r="C41" s="20"/>
      <c r="D41" s="303" t="s">
        <v>73</v>
      </c>
      <c r="E41" s="303"/>
      <c r="F41" s="132">
        <f>+F42+F43</f>
        <v>7854049</v>
      </c>
      <c r="G41" s="216">
        <f t="shared" si="2"/>
        <v>3927024.5</v>
      </c>
      <c r="H41" s="132">
        <f>+H42+H43</f>
        <v>6277394</v>
      </c>
      <c r="I41" s="217">
        <f t="shared" si="3"/>
        <v>3138697</v>
      </c>
      <c r="J41" s="133">
        <f>+J42+J43</f>
        <v>1250557</v>
      </c>
      <c r="K41" s="219">
        <f t="shared" si="4"/>
        <v>625278.5</v>
      </c>
      <c r="L41" s="199">
        <f t="shared" si="5"/>
        <v>15382000</v>
      </c>
      <c r="M41" s="200"/>
      <c r="N41" s="196"/>
      <c r="O41" s="196"/>
      <c r="P41" s="196"/>
    </row>
    <row r="42" spans="1:16" ht="11.25">
      <c r="A42" s="314"/>
      <c r="B42" s="299"/>
      <c r="C42" s="81" t="s">
        <v>74</v>
      </c>
      <c r="D42" s="82">
        <v>415111</v>
      </c>
      <c r="E42" s="83" t="s">
        <v>75</v>
      </c>
      <c r="F42" s="93"/>
      <c r="G42" s="216">
        <f t="shared" si="2"/>
        <v>0</v>
      </c>
      <c r="H42" s="93"/>
      <c r="I42" s="217">
        <f t="shared" si="3"/>
        <v>0</v>
      </c>
      <c r="J42" s="228"/>
      <c r="K42" s="219">
        <f t="shared" si="4"/>
        <v>0</v>
      </c>
      <c r="L42" s="197">
        <f t="shared" si="5"/>
        <v>0</v>
      </c>
      <c r="M42" s="200"/>
      <c r="N42" s="196"/>
      <c r="O42" s="196"/>
      <c r="P42" s="196"/>
    </row>
    <row r="43" spans="1:16" ht="11.25">
      <c r="A43" s="314"/>
      <c r="B43" s="299"/>
      <c r="C43" s="186" t="s">
        <v>76</v>
      </c>
      <c r="D43" s="8">
        <v>415112</v>
      </c>
      <c r="E43" s="19" t="s">
        <v>77</v>
      </c>
      <c r="F43" s="222">
        <v>7854049</v>
      </c>
      <c r="G43" s="216">
        <f t="shared" si="2"/>
        <v>3927024.5</v>
      </c>
      <c r="H43" s="222">
        <v>6277394</v>
      </c>
      <c r="I43" s="217">
        <f t="shared" si="3"/>
        <v>3138697</v>
      </c>
      <c r="J43" s="226">
        <v>1250557</v>
      </c>
      <c r="K43" s="219">
        <f t="shared" si="4"/>
        <v>625278.5</v>
      </c>
      <c r="L43" s="197">
        <f t="shared" si="5"/>
        <v>15382000</v>
      </c>
      <c r="M43" s="200"/>
      <c r="N43" s="196"/>
      <c r="O43" s="196"/>
      <c r="P43" s="196"/>
    </row>
    <row r="44" spans="1:16" ht="12" customHeight="1">
      <c r="A44" s="54">
        <v>5</v>
      </c>
      <c r="B44" s="11">
        <v>416000</v>
      </c>
      <c r="C44" s="20"/>
      <c r="D44" s="303" t="s">
        <v>80</v>
      </c>
      <c r="E44" s="303"/>
      <c r="F44" s="55">
        <f>+F45</f>
        <v>1200160</v>
      </c>
      <c r="G44" s="216">
        <f t="shared" si="2"/>
        <v>600080</v>
      </c>
      <c r="H44" s="55">
        <f>+H45</f>
        <v>447460</v>
      </c>
      <c r="I44" s="217">
        <f t="shared" si="3"/>
        <v>223730</v>
      </c>
      <c r="J44" s="225">
        <f>+J45</f>
        <v>584559</v>
      </c>
      <c r="K44" s="219">
        <f t="shared" si="4"/>
        <v>292279.5</v>
      </c>
      <c r="L44" s="199">
        <f t="shared" si="5"/>
        <v>2232179</v>
      </c>
      <c r="M44" s="200"/>
      <c r="N44" s="196"/>
      <c r="O44" s="196"/>
      <c r="P44" s="196"/>
    </row>
    <row r="45" spans="1:16" ht="11.25">
      <c r="A45" s="54"/>
      <c r="B45" s="92"/>
      <c r="C45" s="56" t="s">
        <v>81</v>
      </c>
      <c r="D45" s="8">
        <v>416111</v>
      </c>
      <c r="E45" s="19" t="s">
        <v>82</v>
      </c>
      <c r="F45" s="229">
        <f>1200160</f>
        <v>1200160</v>
      </c>
      <c r="G45" s="216">
        <f t="shared" si="2"/>
        <v>600080</v>
      </c>
      <c r="H45" s="230">
        <f>447460</f>
        <v>447460</v>
      </c>
      <c r="I45" s="217">
        <f t="shared" si="3"/>
        <v>223730</v>
      </c>
      <c r="J45" s="231">
        <f>584559</f>
        <v>584559</v>
      </c>
      <c r="K45" s="219">
        <f t="shared" si="4"/>
        <v>292279.5</v>
      </c>
      <c r="L45" s="197">
        <f t="shared" si="5"/>
        <v>2232179</v>
      </c>
      <c r="M45" s="200"/>
      <c r="N45" s="196"/>
      <c r="O45" s="196"/>
      <c r="P45" s="196"/>
    </row>
    <row r="46" spans="1:16" ht="12" customHeight="1">
      <c r="A46" s="10" t="s">
        <v>33</v>
      </c>
      <c r="B46" s="94">
        <v>420000</v>
      </c>
      <c r="C46" s="94"/>
      <c r="D46" s="304" t="s">
        <v>85</v>
      </c>
      <c r="E46" s="304"/>
      <c r="F46" s="52">
        <f>+F47+F71+F78+F92+F96+F125</f>
        <v>81496438.9034966</v>
      </c>
      <c r="G46" s="52">
        <f t="shared" si="2"/>
        <v>40748219.4517483</v>
      </c>
      <c r="H46" s="52">
        <f>+H47+H71+H78+H92+H96+H125</f>
        <v>25185277.06398035</v>
      </c>
      <c r="I46" s="96">
        <f t="shared" si="3"/>
        <v>12592638.531990174</v>
      </c>
      <c r="J46" s="96">
        <f>+J47+J71+J78+J92+J96+J125</f>
        <v>50387523.15657014</v>
      </c>
      <c r="K46" s="213">
        <f t="shared" si="4"/>
        <v>25193761.57828507</v>
      </c>
      <c r="L46" s="207">
        <f t="shared" si="5"/>
        <v>157069239.12404707</v>
      </c>
      <c r="M46" s="214"/>
      <c r="N46" s="215"/>
      <c r="O46" s="215"/>
      <c r="P46" s="215"/>
    </row>
    <row r="47" spans="1:16" ht="12" customHeight="1">
      <c r="A47" s="10">
        <v>1</v>
      </c>
      <c r="B47" s="97">
        <v>421000</v>
      </c>
      <c r="C47" s="98"/>
      <c r="D47" s="303" t="s">
        <v>86</v>
      </c>
      <c r="E47" s="303"/>
      <c r="F47" s="232">
        <f>+F48+F51+F57+F61+F65+F69+F70</f>
        <v>16650299.812862955</v>
      </c>
      <c r="G47" s="216">
        <f t="shared" si="2"/>
        <v>8325149.9064314775</v>
      </c>
      <c r="H47" s="233">
        <f>+H48+H51+H57+H61+H65+H69+H70</f>
        <v>10709120.369862836</v>
      </c>
      <c r="I47" s="219">
        <f t="shared" si="3"/>
        <v>5354560.184931418</v>
      </c>
      <c r="J47" s="234">
        <f>+J48+J51+J57+J61+J65+J69</f>
        <v>20686654.97293405</v>
      </c>
      <c r="K47" s="219">
        <f t="shared" si="4"/>
        <v>10343327.486467024</v>
      </c>
      <c r="L47" s="235">
        <f t="shared" si="5"/>
        <v>48046075.15565984</v>
      </c>
      <c r="M47" s="200"/>
      <c r="N47" s="196"/>
      <c r="O47" s="196"/>
      <c r="P47" s="196"/>
    </row>
    <row r="48" spans="1:16" ht="11.25">
      <c r="A48" s="72"/>
      <c r="B48" s="4"/>
      <c r="C48" s="15" t="s">
        <v>87</v>
      </c>
      <c r="D48" s="11">
        <v>421100</v>
      </c>
      <c r="E48" s="101" t="s">
        <v>88</v>
      </c>
      <c r="F48" s="236">
        <f>+F49+F50</f>
        <v>1207429.9232007982</v>
      </c>
      <c r="G48" s="216">
        <f t="shared" si="2"/>
        <v>603714.9616003991</v>
      </c>
      <c r="H48" s="236">
        <f>+H49+H50</f>
        <v>382545.68919301115</v>
      </c>
      <c r="I48" s="219">
        <f t="shared" si="3"/>
        <v>191272.84459650557</v>
      </c>
      <c r="J48" s="237">
        <f>+J49+J50</f>
        <v>570282.3971667242</v>
      </c>
      <c r="K48" s="219">
        <f t="shared" si="4"/>
        <v>285141.1985833621</v>
      </c>
      <c r="L48" s="199">
        <f t="shared" si="5"/>
        <v>2160258.009560534</v>
      </c>
      <c r="M48" s="200"/>
      <c r="N48" s="196"/>
      <c r="O48" s="196"/>
      <c r="P48" s="196"/>
    </row>
    <row r="49" spans="1:16" ht="11.25">
      <c r="A49" s="75"/>
      <c r="B49" s="305"/>
      <c r="C49" s="103" t="s">
        <v>89</v>
      </c>
      <c r="D49" s="8">
        <v>421111</v>
      </c>
      <c r="E49" s="19" t="s">
        <v>90</v>
      </c>
      <c r="F49" s="222">
        <v>1207429.9232007982</v>
      </c>
      <c r="G49" s="216">
        <f t="shared" si="2"/>
        <v>603714.9616003991</v>
      </c>
      <c r="H49" s="230">
        <v>382545.68919301115</v>
      </c>
      <c r="I49" s="219">
        <f t="shared" si="3"/>
        <v>191272.84459650557</v>
      </c>
      <c r="J49" s="238">
        <v>570282.3971667242</v>
      </c>
      <c r="K49" s="219">
        <f t="shared" si="4"/>
        <v>285141.1985833621</v>
      </c>
      <c r="L49" s="197">
        <f t="shared" si="5"/>
        <v>2160258.009560534</v>
      </c>
      <c r="M49" s="200"/>
      <c r="N49" s="196"/>
      <c r="O49" s="196"/>
      <c r="P49" s="196"/>
    </row>
    <row r="50" spans="1:16" ht="11.25">
      <c r="A50" s="79"/>
      <c r="B50" s="305"/>
      <c r="C50" s="103" t="s">
        <v>91</v>
      </c>
      <c r="D50" s="8">
        <v>421121</v>
      </c>
      <c r="E50" s="19" t="s">
        <v>92</v>
      </c>
      <c r="F50" s="230"/>
      <c r="G50" s="216">
        <f t="shared" si="2"/>
        <v>0</v>
      </c>
      <c r="H50" s="230"/>
      <c r="I50" s="219">
        <f t="shared" si="3"/>
        <v>0</v>
      </c>
      <c r="J50" s="238"/>
      <c r="K50" s="219">
        <f t="shared" si="4"/>
        <v>0</v>
      </c>
      <c r="L50" s="197">
        <f t="shared" si="5"/>
        <v>0</v>
      </c>
      <c r="M50" s="200"/>
      <c r="N50" s="196"/>
      <c r="O50" s="196"/>
      <c r="P50" s="196"/>
    </row>
    <row r="51" spans="1:16" ht="11.25">
      <c r="A51" s="75"/>
      <c r="B51" s="4"/>
      <c r="C51" s="15" t="s">
        <v>93</v>
      </c>
      <c r="D51" s="11">
        <v>421200</v>
      </c>
      <c r="E51" s="104" t="s">
        <v>94</v>
      </c>
      <c r="F51" s="140">
        <f>+F52+F55+F54+F56+F53</f>
        <v>11404777.525167912</v>
      </c>
      <c r="G51" s="216">
        <f t="shared" si="2"/>
        <v>5702388.762583956</v>
      </c>
      <c r="H51" s="140">
        <f>+H52+H55+H54+H56+H53</f>
        <v>7789114.222124875</v>
      </c>
      <c r="I51" s="219">
        <f t="shared" si="3"/>
        <v>3894557.1110624373</v>
      </c>
      <c r="J51" s="141">
        <f>+J52+J55+J54+J56+J53</f>
        <v>16949538.351276916</v>
      </c>
      <c r="K51" s="219">
        <f t="shared" si="4"/>
        <v>8474769.175638458</v>
      </c>
      <c r="L51" s="199">
        <f t="shared" si="5"/>
        <v>36143430.098569706</v>
      </c>
      <c r="M51" s="200"/>
      <c r="N51" s="196"/>
      <c r="O51" s="196"/>
      <c r="P51" s="196"/>
    </row>
    <row r="52" spans="1:16" ht="11.25">
      <c r="A52" s="75"/>
      <c r="B52" s="306"/>
      <c r="C52" s="103" t="s">
        <v>95</v>
      </c>
      <c r="D52" s="8">
        <v>421211</v>
      </c>
      <c r="E52" s="19" t="s">
        <v>96</v>
      </c>
      <c r="F52" s="222">
        <v>5247019.9570891755</v>
      </c>
      <c r="G52" s="216">
        <f t="shared" si="2"/>
        <v>2623509.9785445877</v>
      </c>
      <c r="H52" s="222">
        <v>3179270.8598630913</v>
      </c>
      <c r="I52" s="219">
        <f t="shared" si="3"/>
        <v>1589635.4299315456</v>
      </c>
      <c r="J52" s="226">
        <v>7742429.855793051</v>
      </c>
      <c r="K52" s="219">
        <f t="shared" si="4"/>
        <v>3871214.9278965257</v>
      </c>
      <c r="L52" s="197">
        <f t="shared" si="5"/>
        <v>16168720.672745317</v>
      </c>
      <c r="M52" s="239"/>
      <c r="N52" s="196"/>
      <c r="O52" s="196"/>
      <c r="P52" s="196"/>
    </row>
    <row r="53" spans="1:16" ht="11.25">
      <c r="A53" s="75"/>
      <c r="B53" s="306"/>
      <c r="C53" s="103"/>
      <c r="D53" s="8">
        <v>421222</v>
      </c>
      <c r="E53" s="19" t="s">
        <v>459</v>
      </c>
      <c r="F53" s="222">
        <v>0</v>
      </c>
      <c r="G53" s="216">
        <f t="shared" si="2"/>
        <v>0</v>
      </c>
      <c r="H53" s="222">
        <v>2933829.5836680965</v>
      </c>
      <c r="I53" s="219">
        <f t="shared" si="3"/>
        <v>1466914.7918340482</v>
      </c>
      <c r="J53" s="210">
        <v>0</v>
      </c>
      <c r="K53" s="219">
        <f t="shared" si="4"/>
        <v>0</v>
      </c>
      <c r="L53" s="197">
        <f t="shared" si="5"/>
        <v>2933829.5836680965</v>
      </c>
      <c r="M53" s="239"/>
      <c r="N53" s="196"/>
      <c r="O53" s="196"/>
      <c r="P53" s="196"/>
    </row>
    <row r="54" spans="1:16" ht="11.25">
      <c r="A54" s="75"/>
      <c r="B54" s="306"/>
      <c r="C54" s="103" t="s">
        <v>97</v>
      </c>
      <c r="D54" s="8">
        <v>421221</v>
      </c>
      <c r="E54" s="19" t="s">
        <v>460</v>
      </c>
      <c r="F54" s="222">
        <v>4214796.915852668</v>
      </c>
      <c r="G54" s="216">
        <f t="shared" si="2"/>
        <v>2107398.457926334</v>
      </c>
      <c r="H54" s="196">
        <v>0</v>
      </c>
      <c r="I54" s="219">
        <f t="shared" si="3"/>
        <v>0</v>
      </c>
      <c r="J54" s="210">
        <v>0</v>
      </c>
      <c r="K54" s="219">
        <f t="shared" si="4"/>
        <v>0</v>
      </c>
      <c r="L54" s="197">
        <f t="shared" si="5"/>
        <v>4214796.915852668</v>
      </c>
      <c r="M54" s="239"/>
      <c r="N54" s="196"/>
      <c r="O54" s="196"/>
      <c r="P54" s="196"/>
    </row>
    <row r="55" spans="1:16" ht="11.25">
      <c r="A55" s="75"/>
      <c r="B55" s="306"/>
      <c r="C55" s="103" t="s">
        <v>99</v>
      </c>
      <c r="D55" s="8">
        <v>421224</v>
      </c>
      <c r="E55" s="19" t="s">
        <v>100</v>
      </c>
      <c r="F55" s="222">
        <v>1403553.0912639054</v>
      </c>
      <c r="G55" s="216">
        <f t="shared" si="2"/>
        <v>701776.5456319527</v>
      </c>
      <c r="H55" s="240">
        <v>0</v>
      </c>
      <c r="I55" s="219">
        <f t="shared" si="3"/>
        <v>0</v>
      </c>
      <c r="J55" s="226">
        <v>9207108.495483864</v>
      </c>
      <c r="K55" s="219">
        <f t="shared" si="4"/>
        <v>4603554.247741932</v>
      </c>
      <c r="L55" s="197">
        <f t="shared" si="5"/>
        <v>10610661.58674777</v>
      </c>
      <c r="M55" s="239"/>
      <c r="N55" s="196"/>
      <c r="O55" s="196"/>
      <c r="P55" s="196"/>
    </row>
    <row r="56" spans="1:16" ht="11.25">
      <c r="A56" s="75"/>
      <c r="B56" s="109"/>
      <c r="C56" s="103" t="s">
        <v>461</v>
      </c>
      <c r="D56" s="8">
        <v>421225</v>
      </c>
      <c r="E56" s="58" t="s">
        <v>218</v>
      </c>
      <c r="F56" s="222">
        <v>539407.5609621622</v>
      </c>
      <c r="G56" s="216">
        <f t="shared" si="2"/>
        <v>269703.7804810811</v>
      </c>
      <c r="H56" s="240">
        <v>1676013.7785936866</v>
      </c>
      <c r="I56" s="219">
        <f t="shared" si="3"/>
        <v>838006.8892968433</v>
      </c>
      <c r="J56" s="210">
        <v>0</v>
      </c>
      <c r="K56" s="219">
        <f t="shared" si="4"/>
        <v>0</v>
      </c>
      <c r="L56" s="197">
        <f t="shared" si="5"/>
        <v>2215421.339555849</v>
      </c>
      <c r="M56" s="239"/>
      <c r="N56" s="196"/>
      <c r="O56" s="196"/>
      <c r="P56" s="196"/>
    </row>
    <row r="57" spans="1:16" ht="11.25">
      <c r="A57" s="75"/>
      <c r="B57" s="4"/>
      <c r="C57" s="107" t="s">
        <v>101</v>
      </c>
      <c r="D57" s="11">
        <v>421300</v>
      </c>
      <c r="E57" s="101" t="s">
        <v>102</v>
      </c>
      <c r="F57" s="146">
        <f>+F58+F59+F60</f>
        <v>1530749.9163472587</v>
      </c>
      <c r="G57" s="216">
        <f t="shared" si="2"/>
        <v>765374.9581736294</v>
      </c>
      <c r="H57" s="146">
        <f>+H58+H59+H60</f>
        <v>1356714.5896905607</v>
      </c>
      <c r="I57" s="219">
        <f t="shared" si="3"/>
        <v>678357.2948452804</v>
      </c>
      <c r="J57" s="147">
        <f>+J58+J59+J60</f>
        <v>1611434.6804511521</v>
      </c>
      <c r="K57" s="219">
        <f t="shared" si="4"/>
        <v>805717.3402255761</v>
      </c>
      <c r="L57" s="199">
        <f t="shared" si="5"/>
        <v>4498899.186488971</v>
      </c>
      <c r="M57" s="200"/>
      <c r="N57" s="196"/>
      <c r="O57" s="196"/>
      <c r="P57" s="196"/>
    </row>
    <row r="58" spans="1:16" ht="11.25">
      <c r="A58" s="75"/>
      <c r="B58" s="306"/>
      <c r="C58" s="103" t="s">
        <v>103</v>
      </c>
      <c r="D58" s="8">
        <v>421311</v>
      </c>
      <c r="E58" s="19" t="s">
        <v>104</v>
      </c>
      <c r="F58" s="222">
        <v>991925.3579677149</v>
      </c>
      <c r="G58" s="216">
        <f t="shared" si="2"/>
        <v>495962.67898385745</v>
      </c>
      <c r="H58" s="222">
        <v>370900.5483602239</v>
      </c>
      <c r="I58" s="219">
        <f t="shared" si="3"/>
        <v>185450.27418011194</v>
      </c>
      <c r="J58" s="226">
        <v>1105590.3365606791</v>
      </c>
      <c r="K58" s="219">
        <f t="shared" si="4"/>
        <v>552795.1682803396</v>
      </c>
      <c r="L58" s="197">
        <f t="shared" si="5"/>
        <v>2468416.242888618</v>
      </c>
      <c r="M58" s="200"/>
      <c r="N58" s="196"/>
      <c r="O58" s="196"/>
      <c r="P58" s="196"/>
    </row>
    <row r="59" spans="1:16" ht="11.25">
      <c r="A59" s="75"/>
      <c r="B59" s="306"/>
      <c r="C59" s="103" t="s">
        <v>462</v>
      </c>
      <c r="D59" s="8">
        <v>421324</v>
      </c>
      <c r="E59" s="19" t="s">
        <v>108</v>
      </c>
      <c r="F59" s="222">
        <v>416699.2581069178</v>
      </c>
      <c r="G59" s="216">
        <f t="shared" si="2"/>
        <v>208349.6290534589</v>
      </c>
      <c r="H59" s="222">
        <v>842385.814097998</v>
      </c>
      <c r="I59" s="219">
        <f t="shared" si="3"/>
        <v>421192.907048999</v>
      </c>
      <c r="J59" s="226">
        <v>241515.8351441183</v>
      </c>
      <c r="K59" s="219">
        <f t="shared" si="4"/>
        <v>120757.91757205914</v>
      </c>
      <c r="L59" s="197">
        <f t="shared" si="5"/>
        <v>1500600.9073490342</v>
      </c>
      <c r="M59" s="200"/>
      <c r="N59" s="196"/>
      <c r="O59" s="196"/>
      <c r="P59" s="196"/>
    </row>
    <row r="60" spans="1:16" ht="11.25">
      <c r="A60" s="75"/>
      <c r="B60" s="306"/>
      <c r="C60" s="103" t="s">
        <v>107</v>
      </c>
      <c r="D60" s="8">
        <v>421391</v>
      </c>
      <c r="E60" s="19" t="s">
        <v>463</v>
      </c>
      <c r="F60" s="222">
        <v>122125.30027262599</v>
      </c>
      <c r="G60" s="216">
        <f t="shared" si="2"/>
        <v>61062.650136312994</v>
      </c>
      <c r="H60" s="222">
        <v>143428.22723233883</v>
      </c>
      <c r="I60" s="219">
        <f t="shared" si="3"/>
        <v>71714.11361616942</v>
      </c>
      <c r="J60" s="226">
        <v>264328.50874635455</v>
      </c>
      <c r="K60" s="219">
        <f t="shared" si="4"/>
        <v>132164.25437317727</v>
      </c>
      <c r="L60" s="197">
        <f t="shared" si="5"/>
        <v>529882.0362513193</v>
      </c>
      <c r="M60" s="200"/>
      <c r="N60" s="196"/>
      <c r="O60" s="196"/>
      <c r="P60" s="196"/>
    </row>
    <row r="61" spans="1:16" ht="11.25">
      <c r="A61" s="75"/>
      <c r="B61" s="4"/>
      <c r="C61" s="107" t="s">
        <v>113</v>
      </c>
      <c r="D61" s="11">
        <v>421400</v>
      </c>
      <c r="E61" s="101" t="s">
        <v>114</v>
      </c>
      <c r="F61" s="146">
        <f>+F62+F63+F64</f>
        <v>1044418.6172752865</v>
      </c>
      <c r="G61" s="216">
        <f t="shared" si="2"/>
        <v>522209.30863764323</v>
      </c>
      <c r="H61" s="146">
        <f>+H62+H63+H64</f>
        <v>444810.39616181236</v>
      </c>
      <c r="I61" s="219">
        <f t="shared" si="3"/>
        <v>222405.19808090618</v>
      </c>
      <c r="J61" s="147">
        <f>+J62+J63+J64</f>
        <v>448951.5795379204</v>
      </c>
      <c r="K61" s="219">
        <f t="shared" si="4"/>
        <v>224475.7897689602</v>
      </c>
      <c r="L61" s="199">
        <f t="shared" si="5"/>
        <v>1938180.5929750192</v>
      </c>
      <c r="M61" s="200"/>
      <c r="N61" s="196"/>
      <c r="O61" s="196"/>
      <c r="P61" s="196"/>
    </row>
    <row r="62" spans="1:16" ht="11.25">
      <c r="A62" s="75"/>
      <c r="B62" s="305"/>
      <c r="C62" s="103" t="s">
        <v>115</v>
      </c>
      <c r="D62" s="8">
        <v>421411</v>
      </c>
      <c r="E62" s="19" t="s">
        <v>116</v>
      </c>
      <c r="F62" s="230">
        <v>960821.1328428137</v>
      </c>
      <c r="G62" s="216">
        <f t="shared" si="2"/>
        <v>480410.56642140687</v>
      </c>
      <c r="H62" s="230">
        <v>443021.66211690626</v>
      </c>
      <c r="I62" s="219">
        <f t="shared" si="3"/>
        <v>221510.83105845313</v>
      </c>
      <c r="J62" s="238">
        <v>425422.4938406768</v>
      </c>
      <c r="K62" s="219">
        <f t="shared" si="4"/>
        <v>212711.2469203384</v>
      </c>
      <c r="L62" s="197">
        <f t="shared" si="5"/>
        <v>1829265.2888003967</v>
      </c>
      <c r="M62" s="200"/>
      <c r="N62" s="196"/>
      <c r="O62" s="196"/>
      <c r="P62" s="196"/>
    </row>
    <row r="63" spans="1:16" ht="11.25">
      <c r="A63" s="75"/>
      <c r="B63" s="305"/>
      <c r="C63" s="103" t="s">
        <v>117</v>
      </c>
      <c r="D63" s="8">
        <v>421414</v>
      </c>
      <c r="E63" s="19" t="s">
        <v>118</v>
      </c>
      <c r="F63" s="1">
        <v>0</v>
      </c>
      <c r="G63" s="216">
        <f aca="true" t="shared" si="6" ref="G63:G94">+F63/2</f>
        <v>0</v>
      </c>
      <c r="H63" s="230">
        <v>0</v>
      </c>
      <c r="I63" s="219">
        <f aca="true" t="shared" si="7" ref="I63:I94">+H63/2</f>
        <v>0</v>
      </c>
      <c r="J63" s="238">
        <v>0</v>
      </c>
      <c r="K63" s="219">
        <f aca="true" t="shared" si="8" ref="K63:K94">+J63/2</f>
        <v>0</v>
      </c>
      <c r="L63" s="197">
        <f aca="true" t="shared" si="9" ref="L63:L94">+F63+H63+J63</f>
        <v>0</v>
      </c>
      <c r="M63" s="200"/>
      <c r="N63" s="196"/>
      <c r="O63" s="196"/>
      <c r="P63" s="196"/>
    </row>
    <row r="64" spans="1:16" ht="11.25">
      <c r="A64" s="79"/>
      <c r="B64" s="305"/>
      <c r="C64" s="103" t="s">
        <v>119</v>
      </c>
      <c r="D64" s="8" t="s">
        <v>464</v>
      </c>
      <c r="E64" s="19" t="s">
        <v>465</v>
      </c>
      <c r="F64" s="230">
        <v>83597.48443247273</v>
      </c>
      <c r="G64" s="216">
        <f t="shared" si="6"/>
        <v>41798.742216236365</v>
      </c>
      <c r="H64" s="230">
        <v>1788.7340449060964</v>
      </c>
      <c r="I64" s="219">
        <f t="shared" si="7"/>
        <v>894.3670224530482</v>
      </c>
      <c r="J64" s="238">
        <v>23529.08569724361</v>
      </c>
      <c r="K64" s="219">
        <f t="shared" si="8"/>
        <v>11764.542848621804</v>
      </c>
      <c r="L64" s="197">
        <f t="shared" si="9"/>
        <v>108915.30417462243</v>
      </c>
      <c r="M64" s="200"/>
      <c r="N64" s="196"/>
      <c r="O64" s="196"/>
      <c r="P64" s="196"/>
    </row>
    <row r="65" spans="1:16" ht="11.25">
      <c r="A65" s="75"/>
      <c r="B65" s="4"/>
      <c r="C65" s="107" t="s">
        <v>129</v>
      </c>
      <c r="D65" s="11">
        <v>421500</v>
      </c>
      <c r="E65" s="101" t="s">
        <v>130</v>
      </c>
      <c r="F65" s="146">
        <f>+F66+F67+F68</f>
        <v>1106664.9547031901</v>
      </c>
      <c r="G65" s="216">
        <f t="shared" si="6"/>
        <v>553332.4773515951</v>
      </c>
      <c r="H65" s="146">
        <f>+H66+H67+H68</f>
        <v>658754.6985149038</v>
      </c>
      <c r="I65" s="219">
        <f t="shared" si="7"/>
        <v>329377.3492574519</v>
      </c>
      <c r="J65" s="147">
        <f>+J66+J67+J68</f>
        <v>999022.8893320343</v>
      </c>
      <c r="K65" s="219">
        <f t="shared" si="8"/>
        <v>499511.44466601714</v>
      </c>
      <c r="L65" s="199">
        <f t="shared" si="9"/>
        <v>2764442.542550128</v>
      </c>
      <c r="M65" s="200"/>
      <c r="N65" s="196"/>
      <c r="O65" s="196"/>
      <c r="P65" s="196"/>
    </row>
    <row r="66" spans="1:16" ht="11.25">
      <c r="A66" s="75"/>
      <c r="B66" s="305"/>
      <c r="C66" s="103" t="s">
        <v>131</v>
      </c>
      <c r="D66" s="8">
        <v>421512</v>
      </c>
      <c r="E66" s="19" t="s">
        <v>132</v>
      </c>
      <c r="F66" s="230">
        <v>419102.22367558815</v>
      </c>
      <c r="G66" s="216">
        <f t="shared" si="6"/>
        <v>209551.11183779407</v>
      </c>
      <c r="H66" s="230">
        <v>244451.51739881973</v>
      </c>
      <c r="I66" s="219">
        <f t="shared" si="7"/>
        <v>122225.75869940987</v>
      </c>
      <c r="J66" s="238">
        <v>288301.90771405946</v>
      </c>
      <c r="K66" s="219">
        <f t="shared" si="8"/>
        <v>144150.95385702973</v>
      </c>
      <c r="L66" s="197">
        <f t="shared" si="9"/>
        <v>951855.6487884674</v>
      </c>
      <c r="M66" s="200"/>
      <c r="N66" s="196"/>
      <c r="O66" s="196"/>
      <c r="P66" s="196"/>
    </row>
    <row r="67" spans="1:16" ht="11.25">
      <c r="A67" s="75"/>
      <c r="B67" s="305"/>
      <c r="C67" s="103" t="s">
        <v>133</v>
      </c>
      <c r="D67" s="8">
        <v>421519</v>
      </c>
      <c r="E67" s="19" t="s">
        <v>134</v>
      </c>
      <c r="F67" s="230">
        <v>491340.4432554929</v>
      </c>
      <c r="G67" s="216">
        <f t="shared" si="6"/>
        <v>245670.22162774645</v>
      </c>
      <c r="H67" s="230">
        <v>344807.7636114557</v>
      </c>
      <c r="I67" s="219">
        <f t="shared" si="7"/>
        <v>172403.88180572784</v>
      </c>
      <c r="J67" s="238">
        <v>615908.8924675029</v>
      </c>
      <c r="K67" s="219">
        <f t="shared" si="8"/>
        <v>307954.4462337514</v>
      </c>
      <c r="L67" s="197">
        <f t="shared" si="9"/>
        <v>1452057.0993344514</v>
      </c>
      <c r="M67" s="200"/>
      <c r="N67" s="196"/>
      <c r="O67" s="196"/>
      <c r="P67" s="196"/>
    </row>
    <row r="68" spans="1:16" ht="11.25">
      <c r="A68" s="75"/>
      <c r="B68" s="305"/>
      <c r="C68" s="103" t="s">
        <v>135</v>
      </c>
      <c r="D68" s="8">
        <v>421521</v>
      </c>
      <c r="E68" s="19" t="s">
        <v>136</v>
      </c>
      <c r="F68" s="230">
        <v>196222.28777210903</v>
      </c>
      <c r="G68" s="216">
        <f t="shared" si="6"/>
        <v>98111.14388605452</v>
      </c>
      <c r="H68" s="230">
        <v>69495.41750462832</v>
      </c>
      <c r="I68" s="219">
        <f t="shared" si="7"/>
        <v>34747.70875231416</v>
      </c>
      <c r="J68" s="238">
        <v>94812.08915047193</v>
      </c>
      <c r="K68" s="219">
        <f t="shared" si="8"/>
        <v>47406.04457523597</v>
      </c>
      <c r="L68" s="197">
        <f t="shared" si="9"/>
        <v>360529.7944272093</v>
      </c>
      <c r="M68" s="200"/>
      <c r="N68" s="196"/>
      <c r="O68" s="196"/>
      <c r="P68" s="196"/>
    </row>
    <row r="69" spans="1:16" ht="11.25">
      <c r="A69" s="75"/>
      <c r="B69" s="93"/>
      <c r="C69" s="107" t="s">
        <v>139</v>
      </c>
      <c r="D69" s="11">
        <v>421600</v>
      </c>
      <c r="E69" s="101" t="s">
        <v>140</v>
      </c>
      <c r="F69" s="146">
        <v>356258.8761685118</v>
      </c>
      <c r="G69" s="216">
        <f t="shared" si="6"/>
        <v>178129.4380842559</v>
      </c>
      <c r="H69" s="146">
        <v>77180.77417767158</v>
      </c>
      <c r="I69" s="219">
        <f t="shared" si="7"/>
        <v>38590.38708883579</v>
      </c>
      <c r="J69" s="147">
        <v>107425.07516930273</v>
      </c>
      <c r="K69" s="219">
        <f t="shared" si="8"/>
        <v>53712.53758465136</v>
      </c>
      <c r="L69" s="199">
        <f t="shared" si="9"/>
        <v>540864.7255154861</v>
      </c>
      <c r="M69" s="200"/>
      <c r="N69" s="196"/>
      <c r="O69" s="196"/>
      <c r="P69" s="196"/>
    </row>
    <row r="70" spans="1:16" ht="11.25">
      <c r="A70" s="79"/>
      <c r="B70" s="93"/>
      <c r="C70" s="107" t="s">
        <v>141</v>
      </c>
      <c r="D70" s="11">
        <v>421900</v>
      </c>
      <c r="E70" s="101" t="s">
        <v>143</v>
      </c>
      <c r="F70" s="230"/>
      <c r="G70" s="216">
        <f t="shared" si="6"/>
        <v>0</v>
      </c>
      <c r="H70" s="196"/>
      <c r="I70" s="219">
        <f t="shared" si="7"/>
        <v>0</v>
      </c>
      <c r="K70" s="219">
        <f t="shared" si="8"/>
        <v>0</v>
      </c>
      <c r="L70" s="197">
        <f t="shared" si="9"/>
        <v>0</v>
      </c>
      <c r="M70" s="200"/>
      <c r="N70" s="196"/>
      <c r="O70" s="196"/>
      <c r="P70" s="196"/>
    </row>
    <row r="71" spans="1:16" ht="12" customHeight="1">
      <c r="A71" s="10">
        <v>2</v>
      </c>
      <c r="B71" s="11">
        <v>422000</v>
      </c>
      <c r="C71" s="8"/>
      <c r="D71" s="287" t="s">
        <v>144</v>
      </c>
      <c r="E71" s="287"/>
      <c r="F71" s="132">
        <f>+F72+F77</f>
        <v>879453.2514367901</v>
      </c>
      <c r="G71" s="216">
        <f t="shared" si="6"/>
        <v>439726.62571839505</v>
      </c>
      <c r="H71" s="132">
        <f>+H72+H77</f>
        <v>104643.23781961885</v>
      </c>
      <c r="I71" s="219">
        <f t="shared" si="7"/>
        <v>52321.618909809426</v>
      </c>
      <c r="J71" s="133">
        <f>+J72+J77</f>
        <v>243836.13777874934</v>
      </c>
      <c r="K71" s="219">
        <f t="shared" si="8"/>
        <v>121918.06888937467</v>
      </c>
      <c r="L71" s="199">
        <f t="shared" si="9"/>
        <v>1227932.6270351582</v>
      </c>
      <c r="M71" s="200"/>
      <c r="N71" s="196"/>
      <c r="O71" s="196"/>
      <c r="P71" s="196"/>
    </row>
    <row r="72" spans="1:16" ht="11.25">
      <c r="A72" s="121"/>
      <c r="B72" s="4"/>
      <c r="C72" s="102" t="s">
        <v>145</v>
      </c>
      <c r="D72" s="11">
        <v>422100</v>
      </c>
      <c r="E72" s="122" t="s">
        <v>146</v>
      </c>
      <c r="F72" s="146">
        <f>+F73+F74+F75</f>
        <v>879453.2514367901</v>
      </c>
      <c r="G72" s="216">
        <f t="shared" si="6"/>
        <v>439726.62571839505</v>
      </c>
      <c r="H72" s="146">
        <f>+H73+H74+H75</f>
        <v>104643.23781961885</v>
      </c>
      <c r="I72" s="219">
        <f t="shared" si="7"/>
        <v>52321.618909809426</v>
      </c>
      <c r="J72" s="147">
        <f>+J73+J74+J75</f>
        <v>243836.13777874934</v>
      </c>
      <c r="K72" s="219">
        <f t="shared" si="8"/>
        <v>121918.06888937467</v>
      </c>
      <c r="L72" s="199">
        <f t="shared" si="9"/>
        <v>1227932.6270351582</v>
      </c>
      <c r="M72" s="200"/>
      <c r="N72" s="196"/>
      <c r="O72" s="196"/>
      <c r="P72" s="196"/>
    </row>
    <row r="73" spans="1:16" ht="11.25">
      <c r="A73" s="123"/>
      <c r="B73" s="305"/>
      <c r="C73" s="103" t="s">
        <v>147</v>
      </c>
      <c r="D73" s="8">
        <v>422111</v>
      </c>
      <c r="E73" s="19" t="s">
        <v>466</v>
      </c>
      <c r="F73" s="230">
        <v>795630.7401283215</v>
      </c>
      <c r="G73" s="216">
        <f t="shared" si="6"/>
        <v>397815.3700641607</v>
      </c>
      <c r="H73" s="222">
        <v>65671.10870900431</v>
      </c>
      <c r="I73" s="219">
        <f t="shared" si="7"/>
        <v>32835.55435450216</v>
      </c>
      <c r="J73" s="226">
        <v>162283.41286744335</v>
      </c>
      <c r="K73" s="219">
        <f t="shared" si="8"/>
        <v>81141.70643372167</v>
      </c>
      <c r="L73" s="197">
        <f t="shared" si="9"/>
        <v>1023585.2617047692</v>
      </c>
      <c r="M73" s="200"/>
      <c r="N73" s="196"/>
      <c r="O73" s="196"/>
      <c r="P73" s="196"/>
    </row>
    <row r="74" spans="1:16" ht="11.25">
      <c r="A74" s="123"/>
      <c r="B74" s="305"/>
      <c r="C74" s="103" t="s">
        <v>149</v>
      </c>
      <c r="D74" s="8">
        <v>422121</v>
      </c>
      <c r="E74" s="19" t="s">
        <v>150</v>
      </c>
      <c r="F74" s="230">
        <v>83822.51130846862</v>
      </c>
      <c r="G74" s="216">
        <f t="shared" si="6"/>
        <v>41911.25565423431</v>
      </c>
      <c r="H74" s="222">
        <v>38972.129110614536</v>
      </c>
      <c r="I74" s="219">
        <f t="shared" si="7"/>
        <v>19486.064555307268</v>
      </c>
      <c r="J74" s="226">
        <v>81118.74450759965</v>
      </c>
      <c r="K74" s="219">
        <f t="shared" si="8"/>
        <v>40559.372253799826</v>
      </c>
      <c r="L74" s="197">
        <f t="shared" si="9"/>
        <v>203913.3849266828</v>
      </c>
      <c r="M74" s="200"/>
      <c r="N74" s="196"/>
      <c r="O74" s="196"/>
      <c r="P74" s="196"/>
    </row>
    <row r="75" spans="1:16" ht="11.25">
      <c r="A75" s="123"/>
      <c r="B75" s="305"/>
      <c r="C75" s="103" t="s">
        <v>151</v>
      </c>
      <c r="D75" s="8" t="s">
        <v>152</v>
      </c>
      <c r="E75" s="19" t="s">
        <v>153</v>
      </c>
      <c r="F75" s="230">
        <v>0</v>
      </c>
      <c r="G75" s="216">
        <f t="shared" si="6"/>
        <v>0</v>
      </c>
      <c r="H75" s="230">
        <v>0</v>
      </c>
      <c r="I75" s="219">
        <f t="shared" si="7"/>
        <v>0</v>
      </c>
      <c r="J75" s="238">
        <v>433.98040370635715</v>
      </c>
      <c r="K75" s="219">
        <f t="shared" si="8"/>
        <v>216.99020185317858</v>
      </c>
      <c r="L75" s="197">
        <f t="shared" si="9"/>
        <v>433.98040370635715</v>
      </c>
      <c r="M75" s="200"/>
      <c r="N75" s="196"/>
      <c r="O75" s="196"/>
      <c r="P75" s="196"/>
    </row>
    <row r="76" spans="1:16" ht="11.25">
      <c r="A76" s="123"/>
      <c r="B76" s="305"/>
      <c r="C76" s="103" t="s">
        <v>467</v>
      </c>
      <c r="D76" s="8">
        <v>422200</v>
      </c>
      <c r="E76" s="19" t="s">
        <v>155</v>
      </c>
      <c r="F76" s="230"/>
      <c r="G76" s="216">
        <f t="shared" si="6"/>
        <v>0</v>
      </c>
      <c r="H76" s="230"/>
      <c r="I76" s="219">
        <f t="shared" si="7"/>
        <v>0</v>
      </c>
      <c r="J76" s="238"/>
      <c r="K76" s="219">
        <f t="shared" si="8"/>
        <v>0</v>
      </c>
      <c r="L76" s="197">
        <f t="shared" si="9"/>
        <v>0</v>
      </c>
      <c r="M76" s="200"/>
      <c r="N76" s="196"/>
      <c r="O76" s="196"/>
      <c r="P76" s="196"/>
    </row>
    <row r="77" spans="1:16" ht="11.25">
      <c r="A77" s="136"/>
      <c r="B77" s="4"/>
      <c r="C77" s="102" t="s">
        <v>468</v>
      </c>
      <c r="D77" s="11">
        <v>422300</v>
      </c>
      <c r="E77" s="122" t="s">
        <v>157</v>
      </c>
      <c r="F77" s="146"/>
      <c r="G77" s="216">
        <f t="shared" si="6"/>
        <v>0</v>
      </c>
      <c r="H77" s="146"/>
      <c r="I77" s="219">
        <f t="shared" si="7"/>
        <v>0</v>
      </c>
      <c r="J77" s="147"/>
      <c r="K77" s="219">
        <f t="shared" si="8"/>
        <v>0</v>
      </c>
      <c r="L77" s="197">
        <f t="shared" si="9"/>
        <v>0</v>
      </c>
      <c r="M77" s="200"/>
      <c r="N77" s="196"/>
      <c r="O77" s="196"/>
      <c r="P77" s="196"/>
    </row>
    <row r="78" spans="1:16" ht="16.5" customHeight="1">
      <c r="A78" s="54">
        <v>3</v>
      </c>
      <c r="B78" s="11">
        <v>423000</v>
      </c>
      <c r="C78" s="8"/>
      <c r="D78" s="287" t="s">
        <v>162</v>
      </c>
      <c r="E78" s="287"/>
      <c r="F78" s="132">
        <f>+F79+F80+F83+F86+F89+F90+F91</f>
        <v>4341611.1406493755</v>
      </c>
      <c r="G78" s="216">
        <f t="shared" si="6"/>
        <v>2170805.5703246878</v>
      </c>
      <c r="H78" s="132">
        <f>+H79+H80+H83+H86+H89+H90+H91</f>
        <v>78016.58828851346</v>
      </c>
      <c r="I78" s="219">
        <f t="shared" si="7"/>
        <v>39008.29414425673</v>
      </c>
      <c r="J78" s="133">
        <f>+J79+J80+J83+J86+J89+J90+J91</f>
        <v>540121.9072054385</v>
      </c>
      <c r="K78" s="219">
        <f t="shared" si="8"/>
        <v>270060.95360271924</v>
      </c>
      <c r="L78" s="199">
        <f t="shared" si="9"/>
        <v>4959749.636143327</v>
      </c>
      <c r="M78" s="200"/>
      <c r="N78" s="196"/>
      <c r="O78" s="196"/>
      <c r="P78" s="196"/>
    </row>
    <row r="79" spans="1:16" ht="15.75" customHeight="1">
      <c r="A79" s="121"/>
      <c r="B79" s="93"/>
      <c r="C79" s="102" t="s">
        <v>163</v>
      </c>
      <c r="D79" s="11">
        <v>423100</v>
      </c>
      <c r="E79" s="122" t="s">
        <v>164</v>
      </c>
      <c r="F79" s="146"/>
      <c r="G79" s="216">
        <f t="shared" si="6"/>
        <v>0</v>
      </c>
      <c r="H79" s="196"/>
      <c r="I79" s="219">
        <f t="shared" si="7"/>
        <v>0</v>
      </c>
      <c r="J79" s="147"/>
      <c r="K79" s="219">
        <f t="shared" si="8"/>
        <v>0</v>
      </c>
      <c r="L79" s="197">
        <f t="shared" si="9"/>
        <v>0</v>
      </c>
      <c r="M79" s="200"/>
      <c r="N79" s="196"/>
      <c r="O79" s="196"/>
      <c r="P79" s="196"/>
    </row>
    <row r="80" spans="1:16" ht="15.75" customHeight="1">
      <c r="A80" s="123"/>
      <c r="B80" s="93"/>
      <c r="C80" s="102" t="s">
        <v>167</v>
      </c>
      <c r="D80" s="11">
        <v>423200</v>
      </c>
      <c r="E80" s="122" t="s">
        <v>168</v>
      </c>
      <c r="F80" s="146">
        <f>+F81+F82</f>
        <v>2441634.6003561886</v>
      </c>
      <c r="G80" s="216">
        <f t="shared" si="6"/>
        <v>1220817.3001780943</v>
      </c>
      <c r="H80" s="196"/>
      <c r="I80" s="219">
        <f t="shared" si="7"/>
        <v>0</v>
      </c>
      <c r="J80" s="147">
        <f>+J81+J82</f>
        <v>0</v>
      </c>
      <c r="K80" s="219">
        <f t="shared" si="8"/>
        <v>0</v>
      </c>
      <c r="L80" s="199">
        <f t="shared" si="9"/>
        <v>2441634.6003561886</v>
      </c>
      <c r="M80" s="200"/>
      <c r="N80" s="196"/>
      <c r="O80" s="196"/>
      <c r="P80" s="196"/>
    </row>
    <row r="81" spans="1:16" ht="15.75" customHeight="1">
      <c r="A81" s="123"/>
      <c r="B81" s="305"/>
      <c r="C81" s="103" t="s">
        <v>169</v>
      </c>
      <c r="D81" s="8">
        <v>423211</v>
      </c>
      <c r="E81" s="19" t="s">
        <v>469</v>
      </c>
      <c r="F81" s="230"/>
      <c r="G81" s="216">
        <f t="shared" si="6"/>
        <v>0</v>
      </c>
      <c r="H81" s="196"/>
      <c r="I81" s="219">
        <f t="shared" si="7"/>
        <v>0</v>
      </c>
      <c r="J81" s="238"/>
      <c r="K81" s="219">
        <f t="shared" si="8"/>
        <v>0</v>
      </c>
      <c r="L81" s="197">
        <f t="shared" si="9"/>
        <v>0</v>
      </c>
      <c r="M81" s="200"/>
      <c r="N81" s="196"/>
      <c r="O81" s="196"/>
      <c r="P81" s="196"/>
    </row>
    <row r="82" spans="1:16" ht="14.25" customHeight="1">
      <c r="A82" s="123"/>
      <c r="B82" s="305"/>
      <c r="C82" s="103" t="s">
        <v>171</v>
      </c>
      <c r="D82" s="8">
        <v>423221</v>
      </c>
      <c r="E82" s="19" t="s">
        <v>470</v>
      </c>
      <c r="F82" s="230">
        <v>2441634.6003561886</v>
      </c>
      <c r="G82" s="216">
        <f t="shared" si="6"/>
        <v>1220817.3001780943</v>
      </c>
      <c r="H82" s="196"/>
      <c r="I82" s="219">
        <f t="shared" si="7"/>
        <v>0</v>
      </c>
      <c r="J82" s="238"/>
      <c r="K82" s="219">
        <f t="shared" si="8"/>
        <v>0</v>
      </c>
      <c r="L82" s="197">
        <f t="shared" si="9"/>
        <v>2441634.6003561886</v>
      </c>
      <c r="M82" s="200"/>
      <c r="N82" s="196"/>
      <c r="O82" s="196"/>
      <c r="P82" s="196"/>
    </row>
    <row r="83" spans="1:16" ht="15" customHeight="1">
      <c r="A83" s="123"/>
      <c r="B83" s="4"/>
      <c r="C83" s="102" t="s">
        <v>175</v>
      </c>
      <c r="D83" s="11">
        <v>423300</v>
      </c>
      <c r="E83" s="122" t="s">
        <v>176</v>
      </c>
      <c r="F83" s="146">
        <f>+F84+F85</f>
        <v>0</v>
      </c>
      <c r="G83" s="216">
        <f t="shared" si="6"/>
        <v>0</v>
      </c>
      <c r="H83" s="196"/>
      <c r="I83" s="219">
        <f t="shared" si="7"/>
        <v>0</v>
      </c>
      <c r="J83" s="147">
        <f>+J84+J85</f>
        <v>27554.311346435377</v>
      </c>
      <c r="K83" s="219">
        <f t="shared" si="8"/>
        <v>13777.155673217689</v>
      </c>
      <c r="L83" s="199">
        <f t="shared" si="9"/>
        <v>27554.311346435377</v>
      </c>
      <c r="M83" s="200"/>
      <c r="N83" s="196"/>
      <c r="O83" s="196"/>
      <c r="P83" s="196"/>
    </row>
    <row r="84" spans="1:16" ht="11.25">
      <c r="A84" s="123"/>
      <c r="B84" s="305"/>
      <c r="C84" s="103" t="s">
        <v>177</v>
      </c>
      <c r="D84" s="8">
        <v>423311</v>
      </c>
      <c r="E84" s="19" t="s">
        <v>178</v>
      </c>
      <c r="F84" s="230"/>
      <c r="G84" s="216">
        <f t="shared" si="6"/>
        <v>0</v>
      </c>
      <c r="H84" s="196"/>
      <c r="I84" s="219">
        <f t="shared" si="7"/>
        <v>0</v>
      </c>
      <c r="J84" s="238"/>
      <c r="K84" s="219">
        <f t="shared" si="8"/>
        <v>0</v>
      </c>
      <c r="L84" s="197">
        <f t="shared" si="9"/>
        <v>0</v>
      </c>
      <c r="M84" s="200"/>
      <c r="N84" s="196"/>
      <c r="O84" s="196"/>
      <c r="P84" s="196"/>
    </row>
    <row r="85" spans="1:16" ht="11.25">
      <c r="A85" s="123"/>
      <c r="B85" s="305"/>
      <c r="C85" s="103" t="s">
        <v>179</v>
      </c>
      <c r="D85" s="8">
        <v>423321</v>
      </c>
      <c r="E85" s="19" t="s">
        <v>180</v>
      </c>
      <c r="F85" s="230"/>
      <c r="G85" s="216">
        <f t="shared" si="6"/>
        <v>0</v>
      </c>
      <c r="H85" s="196"/>
      <c r="I85" s="219">
        <f t="shared" si="7"/>
        <v>0</v>
      </c>
      <c r="J85" s="238">
        <v>27554.311346435377</v>
      </c>
      <c r="K85" s="219">
        <f t="shared" si="8"/>
        <v>13777.155673217689</v>
      </c>
      <c r="L85" s="197">
        <f t="shared" si="9"/>
        <v>27554.311346435377</v>
      </c>
      <c r="M85" s="200"/>
      <c r="N85" s="196"/>
      <c r="O85" s="196"/>
      <c r="P85" s="196"/>
    </row>
    <row r="86" spans="1:16" ht="15" customHeight="1">
      <c r="A86" s="123"/>
      <c r="B86" s="4"/>
      <c r="C86" s="102" t="s">
        <v>183</v>
      </c>
      <c r="D86" s="11">
        <v>423400</v>
      </c>
      <c r="E86" s="122" t="s">
        <v>184</v>
      </c>
      <c r="F86" s="146">
        <f>+F87+F88</f>
        <v>0</v>
      </c>
      <c r="G86" s="216">
        <f t="shared" si="6"/>
        <v>0</v>
      </c>
      <c r="H86" s="196"/>
      <c r="I86" s="219">
        <f t="shared" si="7"/>
        <v>0</v>
      </c>
      <c r="J86" s="147">
        <f>+J87+J88</f>
        <v>0</v>
      </c>
      <c r="K86" s="219">
        <f t="shared" si="8"/>
        <v>0</v>
      </c>
      <c r="L86" s="197">
        <f t="shared" si="9"/>
        <v>0</v>
      </c>
      <c r="M86" s="200"/>
      <c r="N86" s="196"/>
      <c r="O86" s="196"/>
      <c r="P86" s="196"/>
    </row>
    <row r="87" spans="1:16" ht="11.25">
      <c r="A87" s="123"/>
      <c r="B87" s="305"/>
      <c r="C87" s="103" t="s">
        <v>185</v>
      </c>
      <c r="D87" s="8">
        <v>423432</v>
      </c>
      <c r="E87" s="19" t="s">
        <v>186</v>
      </c>
      <c r="F87" s="230"/>
      <c r="G87" s="216">
        <f t="shared" si="6"/>
        <v>0</v>
      </c>
      <c r="H87" s="196"/>
      <c r="I87" s="219">
        <f t="shared" si="7"/>
        <v>0</v>
      </c>
      <c r="J87" s="238"/>
      <c r="K87" s="219">
        <f t="shared" si="8"/>
        <v>0</v>
      </c>
      <c r="L87" s="197">
        <f t="shared" si="9"/>
        <v>0</v>
      </c>
      <c r="M87" s="200"/>
      <c r="N87" s="196"/>
      <c r="O87" s="196"/>
      <c r="P87" s="196"/>
    </row>
    <row r="88" spans="1:16" ht="11.25">
      <c r="A88" s="123"/>
      <c r="B88" s="305"/>
      <c r="C88" s="103" t="s">
        <v>187</v>
      </c>
      <c r="D88" s="8" t="s">
        <v>188</v>
      </c>
      <c r="E88" s="19" t="s">
        <v>189</v>
      </c>
      <c r="F88" s="230"/>
      <c r="G88" s="216">
        <f t="shared" si="6"/>
        <v>0</v>
      </c>
      <c r="H88" s="196"/>
      <c r="I88" s="219">
        <f t="shared" si="7"/>
        <v>0</v>
      </c>
      <c r="J88" s="238"/>
      <c r="K88" s="219">
        <f t="shared" si="8"/>
        <v>0</v>
      </c>
      <c r="L88" s="197">
        <f t="shared" si="9"/>
        <v>0</v>
      </c>
      <c r="M88" s="200"/>
      <c r="N88" s="196"/>
      <c r="O88" s="196"/>
      <c r="P88" s="196"/>
    </row>
    <row r="89" spans="1:16" ht="11.25">
      <c r="A89" s="123"/>
      <c r="B89" s="93"/>
      <c r="C89" s="102" t="s">
        <v>190</v>
      </c>
      <c r="D89" s="11">
        <v>423599</v>
      </c>
      <c r="E89" s="122" t="s">
        <v>192</v>
      </c>
      <c r="F89" s="146"/>
      <c r="G89" s="216">
        <f t="shared" si="6"/>
        <v>0</v>
      </c>
      <c r="H89" s="196"/>
      <c r="I89" s="219">
        <f t="shared" si="7"/>
        <v>0</v>
      </c>
      <c r="J89" s="147"/>
      <c r="K89" s="219">
        <f t="shared" si="8"/>
        <v>0</v>
      </c>
      <c r="L89" s="197">
        <f t="shared" si="9"/>
        <v>0</v>
      </c>
      <c r="M89" s="200"/>
      <c r="N89" s="196"/>
      <c r="O89" s="196"/>
      <c r="P89" s="196"/>
    </row>
    <row r="90" spans="1:16" ht="11.25">
      <c r="A90" s="123"/>
      <c r="B90" s="93"/>
      <c r="C90" s="102" t="s">
        <v>191</v>
      </c>
      <c r="D90" s="11">
        <v>423700</v>
      </c>
      <c r="E90" s="122" t="s">
        <v>194</v>
      </c>
      <c r="F90" s="230"/>
      <c r="G90" s="216">
        <f t="shared" si="6"/>
        <v>0</v>
      </c>
      <c r="H90" s="196"/>
      <c r="I90" s="219">
        <f t="shared" si="7"/>
        <v>0</v>
      </c>
      <c r="J90" s="238"/>
      <c r="K90" s="219">
        <f t="shared" si="8"/>
        <v>0</v>
      </c>
      <c r="L90" s="197">
        <f t="shared" si="9"/>
        <v>0</v>
      </c>
      <c r="M90" s="200"/>
      <c r="N90" s="196"/>
      <c r="O90" s="196"/>
      <c r="P90" s="196"/>
    </row>
    <row r="91" spans="1:16" ht="11.25">
      <c r="A91" s="136"/>
      <c r="B91" s="93"/>
      <c r="C91" s="102" t="s">
        <v>193</v>
      </c>
      <c r="D91" s="11">
        <v>423900</v>
      </c>
      <c r="E91" s="122" t="s">
        <v>196</v>
      </c>
      <c r="F91" s="140">
        <v>1899976.5402931867</v>
      </c>
      <c r="G91" s="216">
        <f t="shared" si="6"/>
        <v>949988.2701465933</v>
      </c>
      <c r="H91" s="140">
        <v>78016.58828851346</v>
      </c>
      <c r="I91" s="219">
        <f t="shared" si="7"/>
        <v>39008.29414425673</v>
      </c>
      <c r="J91" s="141">
        <v>512567.5958590031</v>
      </c>
      <c r="K91" s="219">
        <f t="shared" si="8"/>
        <v>256283.79792950154</v>
      </c>
      <c r="L91" s="199">
        <f t="shared" si="9"/>
        <v>2490560.724440703</v>
      </c>
      <c r="M91" s="200"/>
      <c r="N91" s="196"/>
      <c r="O91" s="196"/>
      <c r="P91" s="196"/>
    </row>
    <row r="92" spans="1:16" ht="16.5" customHeight="1">
      <c r="A92" s="54">
        <v>4</v>
      </c>
      <c r="B92" s="11">
        <v>424000</v>
      </c>
      <c r="C92" s="8"/>
      <c r="D92" s="287" t="s">
        <v>197</v>
      </c>
      <c r="E92" s="287"/>
      <c r="F92" s="132">
        <f>+F93</f>
        <v>157856.35351111606</v>
      </c>
      <c r="G92" s="216">
        <f t="shared" si="6"/>
        <v>78928.17675555803</v>
      </c>
      <c r="H92" s="132">
        <f>+H93</f>
        <v>257049.5781656712</v>
      </c>
      <c r="I92" s="219">
        <f t="shared" si="7"/>
        <v>128524.7890828356</v>
      </c>
      <c r="J92" s="133">
        <f>+J93</f>
        <v>236833.89840783647</v>
      </c>
      <c r="K92" s="219">
        <f t="shared" si="8"/>
        <v>118416.94920391824</v>
      </c>
      <c r="L92" s="199">
        <f t="shared" si="9"/>
        <v>651739.8300846238</v>
      </c>
      <c r="M92" s="200"/>
      <c r="N92" s="196"/>
      <c r="O92" s="196"/>
      <c r="P92" s="196"/>
    </row>
    <row r="93" spans="1:16" ht="11.25">
      <c r="A93" s="121"/>
      <c r="B93" s="4"/>
      <c r="C93" s="102" t="s">
        <v>198</v>
      </c>
      <c r="D93" s="11">
        <v>424300</v>
      </c>
      <c r="E93" s="122" t="s">
        <v>199</v>
      </c>
      <c r="F93" s="146">
        <f>+F94+F95</f>
        <v>157856.35351111606</v>
      </c>
      <c r="G93" s="216">
        <f t="shared" si="6"/>
        <v>78928.17675555803</v>
      </c>
      <c r="H93" s="146">
        <f>+H94+H95</f>
        <v>257049.5781656712</v>
      </c>
      <c r="I93" s="219">
        <f t="shared" si="7"/>
        <v>128524.7890828356</v>
      </c>
      <c r="J93" s="147">
        <f>+J94+J95</f>
        <v>236833.89840783647</v>
      </c>
      <c r="K93" s="219">
        <f t="shared" si="8"/>
        <v>118416.94920391824</v>
      </c>
      <c r="L93" s="199">
        <f t="shared" si="9"/>
        <v>651739.8300846238</v>
      </c>
      <c r="M93" s="200"/>
      <c r="N93" s="196"/>
      <c r="O93" s="196"/>
      <c r="P93" s="196"/>
    </row>
    <row r="94" spans="1:16" ht="11.25">
      <c r="A94" s="123"/>
      <c r="B94" s="305"/>
      <c r="C94" s="103" t="s">
        <v>471</v>
      </c>
      <c r="D94" s="8">
        <v>424311</v>
      </c>
      <c r="E94" s="19" t="s">
        <v>472</v>
      </c>
      <c r="F94" s="230"/>
      <c r="G94" s="216">
        <f t="shared" si="6"/>
        <v>0</v>
      </c>
      <c r="H94" s="230"/>
      <c r="I94" s="219">
        <f t="shared" si="7"/>
        <v>0</v>
      </c>
      <c r="J94" s="238"/>
      <c r="K94" s="219">
        <f t="shared" si="8"/>
        <v>0</v>
      </c>
      <c r="L94" s="197">
        <f t="shared" si="9"/>
        <v>0</v>
      </c>
      <c r="M94" s="200"/>
      <c r="N94" s="196"/>
      <c r="O94" s="196"/>
      <c r="P94" s="196"/>
    </row>
    <row r="95" spans="1:16" ht="11.25">
      <c r="A95" s="136"/>
      <c r="B95" s="305"/>
      <c r="C95" s="103" t="s">
        <v>200</v>
      </c>
      <c r="D95" s="8">
        <v>424331</v>
      </c>
      <c r="E95" s="19" t="s">
        <v>201</v>
      </c>
      <c r="F95" s="230">
        <v>157856.35351111606</v>
      </c>
      <c r="G95" s="216">
        <f aca="true" t="shared" si="10" ref="G95:G126">+F95/2</f>
        <v>78928.17675555803</v>
      </c>
      <c r="H95" s="230">
        <v>257049.5781656712</v>
      </c>
      <c r="I95" s="219">
        <f aca="true" t="shared" si="11" ref="I95:I126">+H95/2</f>
        <v>128524.7890828356</v>
      </c>
      <c r="J95" s="238">
        <v>236833.89840783647</v>
      </c>
      <c r="K95" s="219">
        <f aca="true" t="shared" si="12" ref="K95:K126">+J95/2</f>
        <v>118416.94920391824</v>
      </c>
      <c r="L95" s="197">
        <f aca="true" t="shared" si="13" ref="L95:L126">+F95+H95+J95</f>
        <v>651739.8300846238</v>
      </c>
      <c r="M95" s="200"/>
      <c r="N95" s="196"/>
      <c r="O95" s="196"/>
      <c r="P95" s="196"/>
    </row>
    <row r="96" spans="1:16" ht="15.75" customHeight="1">
      <c r="A96" s="54">
        <v>5</v>
      </c>
      <c r="B96" s="11">
        <v>425000</v>
      </c>
      <c r="C96" s="20"/>
      <c r="D96" s="287" t="s">
        <v>204</v>
      </c>
      <c r="E96" s="287"/>
      <c r="F96" s="132">
        <f>F97+F108</f>
        <v>7615934.733702229</v>
      </c>
      <c r="G96" s="216">
        <f t="shared" si="10"/>
        <v>3807967.3668511147</v>
      </c>
      <c r="H96" s="132">
        <f>H97+H108</f>
        <v>3083069.117997246</v>
      </c>
      <c r="I96" s="219">
        <f t="shared" si="11"/>
        <v>1541534.558998623</v>
      </c>
      <c r="J96" s="133">
        <f>J97+J108</f>
        <v>2916145.132330083</v>
      </c>
      <c r="K96" s="219">
        <f t="shared" si="12"/>
        <v>1458072.5661650414</v>
      </c>
      <c r="L96" s="199">
        <f t="shared" si="13"/>
        <v>13615148.984029558</v>
      </c>
      <c r="M96" s="200"/>
      <c r="N96" s="196"/>
      <c r="O96" s="196"/>
      <c r="P96" s="196"/>
    </row>
    <row r="97" spans="1:16" ht="15.75" customHeight="1">
      <c r="A97" s="121"/>
      <c r="B97" s="241"/>
      <c r="C97" s="102" t="s">
        <v>205</v>
      </c>
      <c r="D97" s="11">
        <v>425100</v>
      </c>
      <c r="E97" s="122" t="s">
        <v>206</v>
      </c>
      <c r="F97" s="140">
        <f>+F98+F99+F100+F101+F102+F103+F104+F106+F107+F105</f>
        <v>2800873.9345353404</v>
      </c>
      <c r="G97" s="216">
        <f t="shared" si="10"/>
        <v>1400436.9672676702</v>
      </c>
      <c r="H97" s="140">
        <f>+H98+H99+H100+H101+H102+H103+H104+H106+H107</f>
        <v>1649575.5878361491</v>
      </c>
      <c r="I97" s="219">
        <f t="shared" si="11"/>
        <v>824787.7939180746</v>
      </c>
      <c r="J97" s="141">
        <f>+J98+J99+J100+J101+J102+J103+J104+J106+J107</f>
        <v>1687789.9733847366</v>
      </c>
      <c r="K97" s="219">
        <f t="shared" si="12"/>
        <v>843894.9866923683</v>
      </c>
      <c r="L97" s="199">
        <f t="shared" si="13"/>
        <v>6138239.495756226</v>
      </c>
      <c r="M97" s="200"/>
      <c r="N97" s="196"/>
      <c r="O97" s="196"/>
      <c r="P97" s="196"/>
    </row>
    <row r="98" spans="1:16" ht="11.25">
      <c r="A98" s="123"/>
      <c r="B98" s="299"/>
      <c r="C98" s="103" t="s">
        <v>207</v>
      </c>
      <c r="D98" s="8">
        <v>425111</v>
      </c>
      <c r="E98" s="19" t="s">
        <v>208</v>
      </c>
      <c r="F98" s="222"/>
      <c r="G98" s="216">
        <f t="shared" si="10"/>
        <v>0</v>
      </c>
      <c r="H98" s="222"/>
      <c r="I98" s="219">
        <f t="shared" si="11"/>
        <v>0</v>
      </c>
      <c r="J98" s="226"/>
      <c r="K98" s="219">
        <f t="shared" si="12"/>
        <v>0</v>
      </c>
      <c r="L98" s="197">
        <f t="shared" si="13"/>
        <v>0</v>
      </c>
      <c r="M98" s="200"/>
      <c r="N98" s="196"/>
      <c r="O98" s="196"/>
      <c r="P98" s="196"/>
    </row>
    <row r="99" spans="1:16" ht="11.25">
      <c r="A99" s="123"/>
      <c r="B99" s="299"/>
      <c r="C99" s="103" t="s">
        <v>209</v>
      </c>
      <c r="D99" s="8">
        <v>425112</v>
      </c>
      <c r="E99" s="19" t="s">
        <v>210</v>
      </c>
      <c r="F99" s="222">
        <v>48350.927835157476</v>
      </c>
      <c r="G99" s="216">
        <f t="shared" si="10"/>
        <v>24175.463917578738</v>
      </c>
      <c r="H99" s="222">
        <v>0</v>
      </c>
      <c r="I99" s="219">
        <f t="shared" si="11"/>
        <v>0</v>
      </c>
      <c r="J99" s="226">
        <v>241419.39505440576</v>
      </c>
      <c r="K99" s="219">
        <f t="shared" si="12"/>
        <v>120709.69752720288</v>
      </c>
      <c r="L99" s="197">
        <f t="shared" si="13"/>
        <v>289770.3228895632</v>
      </c>
      <c r="M99" s="200"/>
      <c r="N99" s="196"/>
      <c r="O99" s="196"/>
      <c r="P99" s="196"/>
    </row>
    <row r="100" spans="1:16" ht="11.25">
      <c r="A100" s="123"/>
      <c r="B100" s="299"/>
      <c r="C100" s="103" t="s">
        <v>211</v>
      </c>
      <c r="D100" s="8">
        <v>425113</v>
      </c>
      <c r="E100" s="19" t="s">
        <v>212</v>
      </c>
      <c r="F100" s="222">
        <v>233895.9199605228</v>
      </c>
      <c r="G100" s="216">
        <f t="shared" si="10"/>
        <v>116947.9599802614</v>
      </c>
      <c r="H100" s="222">
        <v>0</v>
      </c>
      <c r="I100" s="219">
        <f t="shared" si="11"/>
        <v>0</v>
      </c>
      <c r="J100" s="226">
        <v>0</v>
      </c>
      <c r="K100" s="219">
        <f t="shared" si="12"/>
        <v>0</v>
      </c>
      <c r="L100" s="197">
        <f t="shared" si="13"/>
        <v>233895.9199605228</v>
      </c>
      <c r="M100" s="200"/>
      <c r="N100" s="196"/>
      <c r="O100" s="196"/>
      <c r="P100" s="196"/>
    </row>
    <row r="101" spans="1:16" ht="11.25">
      <c r="A101" s="123"/>
      <c r="B101" s="299"/>
      <c r="C101" s="103" t="s">
        <v>213</v>
      </c>
      <c r="D101" s="8">
        <v>425114</v>
      </c>
      <c r="E101" s="19" t="s">
        <v>214</v>
      </c>
      <c r="F101" s="222">
        <v>90628.42621103815</v>
      </c>
      <c r="G101" s="216">
        <f t="shared" si="10"/>
        <v>45314.21310551908</v>
      </c>
      <c r="H101" s="222">
        <v>1466118.9828915824</v>
      </c>
      <c r="I101" s="219">
        <f t="shared" si="11"/>
        <v>733059.4914457912</v>
      </c>
      <c r="J101" s="226">
        <v>0</v>
      </c>
      <c r="K101" s="219">
        <f t="shared" si="12"/>
        <v>0</v>
      </c>
      <c r="L101" s="197">
        <f t="shared" si="13"/>
        <v>1556747.4091026206</v>
      </c>
      <c r="M101" s="200"/>
      <c r="N101" s="196"/>
      <c r="O101" s="196"/>
      <c r="P101" s="196"/>
    </row>
    <row r="102" spans="1:16" ht="11.25">
      <c r="A102" s="123"/>
      <c r="B102" s="299"/>
      <c r="C102" s="103" t="s">
        <v>215</v>
      </c>
      <c r="D102" s="8">
        <v>425115</v>
      </c>
      <c r="E102" s="19" t="s">
        <v>216</v>
      </c>
      <c r="F102" s="222">
        <v>895400.3091285396</v>
      </c>
      <c r="G102" s="216">
        <f t="shared" si="10"/>
        <v>447700.1545642698</v>
      </c>
      <c r="H102" s="222">
        <v>0</v>
      </c>
      <c r="I102" s="219">
        <f t="shared" si="11"/>
        <v>0</v>
      </c>
      <c r="J102" s="226">
        <v>175105.3524139846</v>
      </c>
      <c r="K102" s="219">
        <f t="shared" si="12"/>
        <v>87552.6762069923</v>
      </c>
      <c r="L102" s="197">
        <f t="shared" si="13"/>
        <v>1070505.6615425241</v>
      </c>
      <c r="M102" s="200"/>
      <c r="N102" s="196"/>
      <c r="O102" s="196"/>
      <c r="P102" s="196"/>
    </row>
    <row r="103" spans="1:16" ht="11.25">
      <c r="A103" s="123"/>
      <c r="B103" s="299"/>
      <c r="C103" s="103" t="s">
        <v>217</v>
      </c>
      <c r="D103" s="8">
        <v>425116</v>
      </c>
      <c r="E103" s="19" t="s">
        <v>218</v>
      </c>
      <c r="F103" s="222">
        <v>524442.3559530106</v>
      </c>
      <c r="G103" s="216">
        <f t="shared" si="10"/>
        <v>262221.1779765053</v>
      </c>
      <c r="H103" s="222">
        <v>183456.60494456673</v>
      </c>
      <c r="I103" s="219">
        <f t="shared" si="11"/>
        <v>91728.30247228337</v>
      </c>
      <c r="J103" s="226">
        <v>0</v>
      </c>
      <c r="K103" s="219">
        <f t="shared" si="12"/>
        <v>0</v>
      </c>
      <c r="L103" s="197">
        <f t="shared" si="13"/>
        <v>707898.9608975773</v>
      </c>
      <c r="M103" s="200"/>
      <c r="N103" s="196"/>
      <c r="O103" s="196"/>
      <c r="P103" s="196"/>
    </row>
    <row r="104" spans="1:16" s="142" customFormat="1" ht="11.25">
      <c r="A104" s="123"/>
      <c r="B104" s="299"/>
      <c r="C104" s="103" t="s">
        <v>219</v>
      </c>
      <c r="D104" s="8">
        <v>425117</v>
      </c>
      <c r="E104" s="19" t="s">
        <v>220</v>
      </c>
      <c r="F104" s="222">
        <v>10580.855557031184</v>
      </c>
      <c r="G104" s="216">
        <f t="shared" si="10"/>
        <v>5290.427778515592</v>
      </c>
      <c r="H104" s="222">
        <v>0</v>
      </c>
      <c r="I104" s="219">
        <f t="shared" si="11"/>
        <v>0</v>
      </c>
      <c r="J104" s="226">
        <v>8151.483773320466</v>
      </c>
      <c r="K104" s="219">
        <f t="shared" si="12"/>
        <v>4075.741886660233</v>
      </c>
      <c r="L104" s="197">
        <f t="shared" si="13"/>
        <v>18732.33933035165</v>
      </c>
      <c r="M104" s="200"/>
      <c r="N104" s="200"/>
      <c r="O104" s="200"/>
      <c r="P104" s="200"/>
    </row>
    <row r="105" spans="1:16" s="142" customFormat="1" ht="11.25">
      <c r="A105" s="123"/>
      <c r="B105" s="299"/>
      <c r="C105" s="103"/>
      <c r="D105" s="8">
        <v>425118</v>
      </c>
      <c r="E105" s="19" t="s">
        <v>222</v>
      </c>
      <c r="F105" s="222">
        <v>48794.093009312644</v>
      </c>
      <c r="G105" s="216">
        <f t="shared" si="10"/>
        <v>24397.046504656322</v>
      </c>
      <c r="H105" s="222">
        <v>0</v>
      </c>
      <c r="I105" s="219">
        <f t="shared" si="11"/>
        <v>0</v>
      </c>
      <c r="J105" s="226">
        <v>0</v>
      </c>
      <c r="K105" s="219">
        <f t="shared" si="12"/>
        <v>0</v>
      </c>
      <c r="L105" s="197">
        <f t="shared" si="13"/>
        <v>48794.093009312644</v>
      </c>
      <c r="M105" s="200"/>
      <c r="N105" s="200"/>
      <c r="O105" s="200"/>
      <c r="P105" s="200"/>
    </row>
    <row r="106" spans="1:16" s="142" customFormat="1" ht="13.5" customHeight="1">
      <c r="A106" s="123"/>
      <c r="B106" s="299"/>
      <c r="C106" s="103" t="s">
        <v>221</v>
      </c>
      <c r="D106" s="8">
        <v>425119</v>
      </c>
      <c r="E106" s="227" t="s">
        <v>224</v>
      </c>
      <c r="F106" s="222">
        <v>0</v>
      </c>
      <c r="G106" s="216">
        <f t="shared" si="10"/>
        <v>0</v>
      </c>
      <c r="H106" s="222">
        <v>0</v>
      </c>
      <c r="I106" s="219">
        <f t="shared" si="11"/>
        <v>0</v>
      </c>
      <c r="J106" s="226">
        <v>0</v>
      </c>
      <c r="K106" s="219">
        <f t="shared" si="12"/>
        <v>0</v>
      </c>
      <c r="L106" s="197">
        <f t="shared" si="13"/>
        <v>0</v>
      </c>
      <c r="M106" s="200"/>
      <c r="N106" s="200"/>
      <c r="O106" s="200"/>
      <c r="P106" s="200"/>
    </row>
    <row r="107" spans="1:16" s="142" customFormat="1" ht="11.25">
      <c r="A107" s="123"/>
      <c r="B107" s="299"/>
      <c r="C107" s="103" t="s">
        <v>223</v>
      </c>
      <c r="D107" s="8">
        <v>425191</v>
      </c>
      <c r="E107" s="19" t="s">
        <v>226</v>
      </c>
      <c r="F107" s="222">
        <v>948781.0468807276</v>
      </c>
      <c r="G107" s="216">
        <f t="shared" si="10"/>
        <v>474390.5234403638</v>
      </c>
      <c r="H107" s="222">
        <v>0</v>
      </c>
      <c r="I107" s="219">
        <f t="shared" si="11"/>
        <v>0</v>
      </c>
      <c r="J107" s="226">
        <v>1263113.7421430259</v>
      </c>
      <c r="K107" s="219">
        <f t="shared" si="12"/>
        <v>631556.8710715129</v>
      </c>
      <c r="L107" s="197">
        <f t="shared" si="13"/>
        <v>2211894.7890237533</v>
      </c>
      <c r="M107" s="200"/>
      <c r="N107" s="200"/>
      <c r="O107" s="200"/>
      <c r="P107" s="200"/>
    </row>
    <row r="108" spans="1:16" s="142" customFormat="1" ht="18" customHeight="1">
      <c r="A108" s="123"/>
      <c r="B108" s="93"/>
      <c r="C108" s="102" t="s">
        <v>227</v>
      </c>
      <c r="D108" s="11">
        <v>425200</v>
      </c>
      <c r="E108" s="122" t="s">
        <v>228</v>
      </c>
      <c r="F108" s="146">
        <f>+F109+F114+F122+F123+F124</f>
        <v>4815060.799166889</v>
      </c>
      <c r="G108" s="216">
        <f t="shared" si="10"/>
        <v>2407530.3995834445</v>
      </c>
      <c r="H108" s="146">
        <f>+H109+H114+H122+H123+H124</f>
        <v>1433493.5301610967</v>
      </c>
      <c r="I108" s="219">
        <f t="shared" si="11"/>
        <v>716746.7650805484</v>
      </c>
      <c r="J108" s="147">
        <f>+J109+J114+J122+J123+J124</f>
        <v>1228355.1589453463</v>
      </c>
      <c r="K108" s="219">
        <f t="shared" si="12"/>
        <v>614177.5794726731</v>
      </c>
      <c r="L108" s="199">
        <f t="shared" si="13"/>
        <v>7476909.488273332</v>
      </c>
      <c r="M108" s="200"/>
      <c r="N108" s="200"/>
      <c r="O108" s="200"/>
      <c r="P108" s="200"/>
    </row>
    <row r="109" spans="1:16" s="142" customFormat="1" ht="18" customHeight="1">
      <c r="A109" s="123"/>
      <c r="B109" s="242"/>
      <c r="C109" s="102" t="s">
        <v>229</v>
      </c>
      <c r="D109" s="11">
        <v>425210</v>
      </c>
      <c r="E109" s="122" t="s">
        <v>230</v>
      </c>
      <c r="F109" s="146">
        <f>+F110+F111+F112+F113</f>
        <v>3803793.4627302825</v>
      </c>
      <c r="G109" s="216">
        <f t="shared" si="10"/>
        <v>1901896.7313651412</v>
      </c>
      <c r="H109" s="146">
        <f>+H110+H111+H112+H113</f>
        <v>614547.2502484665</v>
      </c>
      <c r="I109" s="219">
        <f t="shared" si="11"/>
        <v>307273.62512423325</v>
      </c>
      <c r="J109" s="147">
        <f>+J110+J111+J112+J113</f>
        <v>697378.9544447695</v>
      </c>
      <c r="K109" s="219">
        <f t="shared" si="12"/>
        <v>348689.47722238477</v>
      </c>
      <c r="L109" s="199">
        <f t="shared" si="13"/>
        <v>5115719.667423518</v>
      </c>
      <c r="M109" s="200"/>
      <c r="N109" s="200"/>
      <c r="O109" s="200"/>
      <c r="P109" s="200"/>
    </row>
    <row r="110" spans="1:16" s="142" customFormat="1" ht="11.25">
      <c r="A110" s="123"/>
      <c r="B110" s="305"/>
      <c r="C110" s="103" t="s">
        <v>231</v>
      </c>
      <c r="D110" s="8">
        <v>425211</v>
      </c>
      <c r="E110" s="19" t="s">
        <v>473</v>
      </c>
      <c r="F110" s="230">
        <v>3546005.658639788</v>
      </c>
      <c r="G110" s="216">
        <f t="shared" si="10"/>
        <v>1773002.829319894</v>
      </c>
      <c r="H110" s="230">
        <v>559019.5724038687</v>
      </c>
      <c r="I110" s="219">
        <f t="shared" si="11"/>
        <v>279509.78620193433</v>
      </c>
      <c r="J110" s="238">
        <v>407761.3283639178</v>
      </c>
      <c r="K110" s="219">
        <f t="shared" si="12"/>
        <v>203880.6641819589</v>
      </c>
      <c r="L110" s="197">
        <f t="shared" si="13"/>
        <v>4512786.559407575</v>
      </c>
      <c r="M110" s="200"/>
      <c r="N110" s="200"/>
      <c r="O110" s="200"/>
      <c r="P110" s="200"/>
    </row>
    <row r="111" spans="1:16" s="142" customFormat="1" ht="11.25">
      <c r="A111" s="123"/>
      <c r="B111" s="305"/>
      <c r="C111" s="103" t="s">
        <v>474</v>
      </c>
      <c r="D111" s="8">
        <v>425212</v>
      </c>
      <c r="E111" s="19" t="s">
        <v>236</v>
      </c>
      <c r="F111" s="230">
        <v>4018.337071355159</v>
      </c>
      <c r="G111" s="216">
        <f t="shared" si="10"/>
        <v>2009.1685356775795</v>
      </c>
      <c r="H111" s="230">
        <v>0</v>
      </c>
      <c r="I111" s="219">
        <f t="shared" si="11"/>
        <v>0</v>
      </c>
      <c r="J111" s="238">
        <v>190008.79056348786</v>
      </c>
      <c r="K111" s="219">
        <f t="shared" si="12"/>
        <v>95004.39528174393</v>
      </c>
      <c r="L111" s="197">
        <f t="shared" si="13"/>
        <v>194027.12763484303</v>
      </c>
      <c r="M111" s="200"/>
      <c r="N111" s="200"/>
      <c r="O111" s="200"/>
      <c r="P111" s="200"/>
    </row>
    <row r="112" spans="1:16" s="142" customFormat="1" ht="11.25">
      <c r="A112" s="123"/>
      <c r="B112" s="305"/>
      <c r="C112" s="103" t="s">
        <v>235</v>
      </c>
      <c r="D112" s="8">
        <v>425213</v>
      </c>
      <c r="E112" s="19" t="s">
        <v>238</v>
      </c>
      <c r="F112" s="230">
        <v>1102.1724538574151</v>
      </c>
      <c r="G112" s="216">
        <f t="shared" si="10"/>
        <v>551.0862269287076</v>
      </c>
      <c r="H112" s="230">
        <v>8610.722295761056</v>
      </c>
      <c r="I112" s="219">
        <f t="shared" si="11"/>
        <v>4305.361147880528</v>
      </c>
      <c r="J112" s="238">
        <v>36165.03364219643</v>
      </c>
      <c r="K112" s="219">
        <f t="shared" si="12"/>
        <v>18082.516821098216</v>
      </c>
      <c r="L112" s="197">
        <f t="shared" si="13"/>
        <v>45877.9283918149</v>
      </c>
      <c r="M112" s="200"/>
      <c r="N112" s="200"/>
      <c r="O112" s="200"/>
      <c r="P112" s="200"/>
    </row>
    <row r="113" spans="1:16" s="142" customFormat="1" ht="11.25">
      <c r="A113" s="136"/>
      <c r="B113" s="305"/>
      <c r="C113" s="103" t="s">
        <v>237</v>
      </c>
      <c r="D113" s="8">
        <v>425219</v>
      </c>
      <c r="E113" s="19" t="s">
        <v>242</v>
      </c>
      <c r="F113" s="230">
        <v>252667.2945652819</v>
      </c>
      <c r="G113" s="216">
        <f t="shared" si="10"/>
        <v>126333.64728264094</v>
      </c>
      <c r="H113" s="230">
        <v>46916.95554883673</v>
      </c>
      <c r="I113" s="219">
        <f t="shared" si="11"/>
        <v>23458.477774418367</v>
      </c>
      <c r="J113" s="238">
        <v>63443.80187516745</v>
      </c>
      <c r="K113" s="219">
        <f t="shared" si="12"/>
        <v>31721.900937583727</v>
      </c>
      <c r="L113" s="197">
        <f t="shared" si="13"/>
        <v>363028.0519892861</v>
      </c>
      <c r="M113" s="200"/>
      <c r="N113" s="200"/>
      <c r="O113" s="200"/>
      <c r="P113" s="200"/>
    </row>
    <row r="114" spans="1:16" s="142" customFormat="1" ht="15.75" customHeight="1">
      <c r="A114" s="123"/>
      <c r="B114" s="242"/>
      <c r="C114" s="102" t="s">
        <v>243</v>
      </c>
      <c r="D114" s="11">
        <v>425220</v>
      </c>
      <c r="E114" s="122" t="s">
        <v>244</v>
      </c>
      <c r="F114" s="140">
        <f>+F115+F116+F117+F118+F119+F120+F121</f>
        <v>105785.59364418981</v>
      </c>
      <c r="G114" s="216">
        <f t="shared" si="10"/>
        <v>52892.796822094904</v>
      </c>
      <c r="H114" s="140">
        <f>+H115+H116+H117+H118+H119+H120+H121</f>
        <v>105676.52449511018</v>
      </c>
      <c r="I114" s="219">
        <f t="shared" si="11"/>
        <v>52838.26224755509</v>
      </c>
      <c r="J114" s="141">
        <f>+J115+J116+J117+J118+J119+J120+J121</f>
        <v>148168.7493497743</v>
      </c>
      <c r="K114" s="219">
        <f t="shared" si="12"/>
        <v>74084.37467488715</v>
      </c>
      <c r="L114" s="199">
        <f t="shared" si="13"/>
        <v>359630.86748907424</v>
      </c>
      <c r="M114" s="200"/>
      <c r="N114" s="200"/>
      <c r="O114" s="200"/>
      <c r="P114" s="200"/>
    </row>
    <row r="115" spans="1:16" s="142" customFormat="1" ht="11.25">
      <c r="A115" s="123"/>
      <c r="B115" s="305"/>
      <c r="C115" s="103" t="s">
        <v>245</v>
      </c>
      <c r="D115" s="8">
        <v>425221</v>
      </c>
      <c r="E115" s="19" t="s">
        <v>246</v>
      </c>
      <c r="F115" s="222">
        <v>0</v>
      </c>
      <c r="G115" s="216">
        <f t="shared" si="10"/>
        <v>0</v>
      </c>
      <c r="H115" s="222"/>
      <c r="I115" s="219">
        <f t="shared" si="11"/>
        <v>0</v>
      </c>
      <c r="J115" s="226">
        <v>4000</v>
      </c>
      <c r="K115" s="219">
        <f t="shared" si="12"/>
        <v>2000</v>
      </c>
      <c r="L115" s="197">
        <f t="shared" si="13"/>
        <v>4000</v>
      </c>
      <c r="M115" s="200"/>
      <c r="N115" s="200"/>
      <c r="O115" s="200"/>
      <c r="P115" s="200"/>
    </row>
    <row r="116" spans="1:16" s="142" customFormat="1" ht="11.25">
      <c r="A116" s="123"/>
      <c r="B116" s="305"/>
      <c r="C116" s="103" t="s">
        <v>247</v>
      </c>
      <c r="D116" s="8">
        <v>425222</v>
      </c>
      <c r="E116" s="19" t="s">
        <v>248</v>
      </c>
      <c r="F116" s="222">
        <v>70727.3248410752</v>
      </c>
      <c r="G116" s="216">
        <f t="shared" si="10"/>
        <v>35363.6624205376</v>
      </c>
      <c r="H116" s="222">
        <v>14769.110881689361</v>
      </c>
      <c r="I116" s="219">
        <f t="shared" si="11"/>
        <v>7384.555440844681</v>
      </c>
      <c r="J116" s="226">
        <v>141137.7751016664</v>
      </c>
      <c r="K116" s="219">
        <f t="shared" si="12"/>
        <v>70568.8875508332</v>
      </c>
      <c r="L116" s="197">
        <f t="shared" si="13"/>
        <v>226634.21082443095</v>
      </c>
      <c r="M116" s="200"/>
      <c r="N116" s="200"/>
      <c r="O116" s="200"/>
      <c r="P116" s="200"/>
    </row>
    <row r="117" spans="1:16" s="142" customFormat="1" ht="11.25">
      <c r="A117" s="123"/>
      <c r="B117" s="305"/>
      <c r="C117" s="103" t="s">
        <v>249</v>
      </c>
      <c r="D117" s="8">
        <v>425223</v>
      </c>
      <c r="E117" s="19" t="s">
        <v>250</v>
      </c>
      <c r="F117" s="222">
        <v>0</v>
      </c>
      <c r="G117" s="216">
        <f t="shared" si="10"/>
        <v>0</v>
      </c>
      <c r="H117" s="222">
        <v>0</v>
      </c>
      <c r="I117" s="219">
        <f t="shared" si="11"/>
        <v>0</v>
      </c>
      <c r="J117" s="226">
        <v>0</v>
      </c>
      <c r="K117" s="219">
        <f t="shared" si="12"/>
        <v>0</v>
      </c>
      <c r="L117" s="197">
        <f t="shared" si="13"/>
        <v>0</v>
      </c>
      <c r="M117" s="200"/>
      <c r="N117" s="200"/>
      <c r="O117" s="200"/>
      <c r="P117" s="200"/>
    </row>
    <row r="118" spans="1:16" s="142" customFormat="1" ht="11.25">
      <c r="A118" s="123"/>
      <c r="B118" s="305"/>
      <c r="C118" s="103" t="s">
        <v>251</v>
      </c>
      <c r="D118" s="8">
        <v>425224</v>
      </c>
      <c r="E118" s="19" t="s">
        <v>252</v>
      </c>
      <c r="F118" s="222">
        <v>31097.336547064526</v>
      </c>
      <c r="G118" s="216">
        <f t="shared" si="10"/>
        <v>15548.668273532263</v>
      </c>
      <c r="H118" s="222">
        <v>6061.948496215783</v>
      </c>
      <c r="I118" s="219">
        <f t="shared" si="11"/>
        <v>3030.9742481078915</v>
      </c>
      <c r="J118" s="226">
        <v>3030.9742481078915</v>
      </c>
      <c r="K118" s="219">
        <f t="shared" si="12"/>
        <v>1515.4871240539458</v>
      </c>
      <c r="L118" s="197">
        <f t="shared" si="13"/>
        <v>40190.2592913882</v>
      </c>
      <c r="M118" s="200"/>
      <c r="N118" s="200"/>
      <c r="O118" s="200"/>
      <c r="P118" s="200"/>
    </row>
    <row r="119" spans="1:16" s="142" customFormat="1" ht="11.25">
      <c r="A119" s="123"/>
      <c r="B119" s="305"/>
      <c r="C119" s="103" t="s">
        <v>253</v>
      </c>
      <c r="D119" s="8">
        <v>425225</v>
      </c>
      <c r="E119" s="19" t="s">
        <v>254</v>
      </c>
      <c r="F119" s="222">
        <v>2583.2166887283165</v>
      </c>
      <c r="G119" s="216">
        <f t="shared" si="10"/>
        <v>1291.6083443641583</v>
      </c>
      <c r="H119" s="222">
        <v>84845.46511720504</v>
      </c>
      <c r="I119" s="219">
        <f t="shared" si="11"/>
        <v>42422.73255860252</v>
      </c>
      <c r="J119" s="226">
        <v>0</v>
      </c>
      <c r="K119" s="219">
        <f t="shared" si="12"/>
        <v>0</v>
      </c>
      <c r="L119" s="197">
        <f t="shared" si="13"/>
        <v>87428.68180593336</v>
      </c>
      <c r="M119" s="200"/>
      <c r="N119" s="200"/>
      <c r="O119" s="200"/>
      <c r="P119" s="200"/>
    </row>
    <row r="120" spans="1:16" s="142" customFormat="1" ht="11.25">
      <c r="A120" s="123"/>
      <c r="B120" s="305"/>
      <c r="C120" s="103" t="s">
        <v>255</v>
      </c>
      <c r="D120" s="8">
        <v>425226</v>
      </c>
      <c r="E120" s="19" t="s">
        <v>256</v>
      </c>
      <c r="F120" s="222">
        <v>0</v>
      </c>
      <c r="G120" s="216">
        <f t="shared" si="10"/>
        <v>0</v>
      </c>
      <c r="H120" s="222">
        <v>0</v>
      </c>
      <c r="I120" s="219">
        <f t="shared" si="11"/>
        <v>0</v>
      </c>
      <c r="J120" s="226">
        <v>0</v>
      </c>
      <c r="K120" s="219">
        <f t="shared" si="12"/>
        <v>0</v>
      </c>
      <c r="L120" s="197">
        <f t="shared" si="13"/>
        <v>0</v>
      </c>
      <c r="M120" s="200"/>
      <c r="N120" s="200"/>
      <c r="O120" s="200"/>
      <c r="P120" s="200"/>
    </row>
    <row r="121" spans="1:16" s="142" customFormat="1" ht="13.5" customHeight="1">
      <c r="A121" s="123"/>
      <c r="B121" s="305"/>
      <c r="C121" s="103" t="s">
        <v>257</v>
      </c>
      <c r="D121" s="8">
        <v>425229</v>
      </c>
      <c r="E121" s="19" t="s">
        <v>258</v>
      </c>
      <c r="F121" s="222">
        <v>1377.7155673217687</v>
      </c>
      <c r="G121" s="216">
        <f t="shared" si="10"/>
        <v>688.8577836608844</v>
      </c>
      <c r="H121" s="222">
        <v>0</v>
      </c>
      <c r="I121" s="219">
        <f t="shared" si="11"/>
        <v>0</v>
      </c>
      <c r="J121" s="226">
        <v>0</v>
      </c>
      <c r="K121" s="219">
        <f t="shared" si="12"/>
        <v>0</v>
      </c>
      <c r="L121" s="197">
        <f t="shared" si="13"/>
        <v>1377.7155673217687</v>
      </c>
      <c r="M121" s="200"/>
      <c r="N121" s="200"/>
      <c r="O121" s="200"/>
      <c r="P121" s="200"/>
    </row>
    <row r="122" spans="1:16" s="142" customFormat="1" ht="15.75" customHeight="1">
      <c r="A122" s="123"/>
      <c r="B122" s="242"/>
      <c r="C122" s="102" t="s">
        <v>261</v>
      </c>
      <c r="D122" s="11">
        <v>425251</v>
      </c>
      <c r="E122" s="122" t="s">
        <v>262</v>
      </c>
      <c r="F122" s="146">
        <v>374049.7765278602</v>
      </c>
      <c r="G122" s="216">
        <f t="shared" si="10"/>
        <v>187024.8882639301</v>
      </c>
      <c r="H122" s="146">
        <v>445631.2850206749</v>
      </c>
      <c r="I122" s="219">
        <f t="shared" si="11"/>
        <v>222815.64251033746</v>
      </c>
      <c r="J122" s="147">
        <v>330213.1633682938</v>
      </c>
      <c r="K122" s="219">
        <f t="shared" si="12"/>
        <v>165106.5816841469</v>
      </c>
      <c r="L122" s="199">
        <f t="shared" si="13"/>
        <v>1149894.2249168288</v>
      </c>
      <c r="M122" s="200"/>
      <c r="N122" s="200"/>
      <c r="O122" s="200"/>
      <c r="P122" s="200"/>
    </row>
    <row r="123" spans="1:16" s="142" customFormat="1" ht="16.5" customHeight="1">
      <c r="A123" s="123"/>
      <c r="B123" s="242"/>
      <c r="C123" s="102" t="s">
        <v>263</v>
      </c>
      <c r="D123" s="11">
        <v>425252</v>
      </c>
      <c r="E123" s="122" t="s">
        <v>268</v>
      </c>
      <c r="F123" s="146">
        <v>419085.0022309967</v>
      </c>
      <c r="G123" s="216">
        <f t="shared" si="10"/>
        <v>209542.50111549834</v>
      </c>
      <c r="H123" s="146">
        <v>249962.37966810682</v>
      </c>
      <c r="I123" s="219">
        <f t="shared" si="11"/>
        <v>124981.18983405341</v>
      </c>
      <c r="J123" s="147">
        <v>23462.496111489723</v>
      </c>
      <c r="K123" s="219">
        <f t="shared" si="12"/>
        <v>11731.248055744862</v>
      </c>
      <c r="L123" s="199">
        <f t="shared" si="13"/>
        <v>692509.8780105932</v>
      </c>
      <c r="M123" s="200"/>
      <c r="N123" s="200"/>
      <c r="O123" s="200"/>
      <c r="P123" s="200"/>
    </row>
    <row r="124" spans="1:16" s="142" customFormat="1" ht="11.25">
      <c r="A124" s="136"/>
      <c r="B124" s="242"/>
      <c r="C124" s="102" t="s">
        <v>475</v>
      </c>
      <c r="D124" s="11">
        <v>425281</v>
      </c>
      <c r="E124" s="152" t="s">
        <v>272</v>
      </c>
      <c r="F124" s="146">
        <v>112346.96403355974</v>
      </c>
      <c r="G124" s="216">
        <f t="shared" si="10"/>
        <v>56173.48201677987</v>
      </c>
      <c r="H124" s="146">
        <v>17676.090728738294</v>
      </c>
      <c r="I124" s="219">
        <f t="shared" si="11"/>
        <v>8838.045364369147</v>
      </c>
      <c r="J124" s="147">
        <v>29131.7956710188</v>
      </c>
      <c r="K124" s="219">
        <f t="shared" si="12"/>
        <v>14565.8978355094</v>
      </c>
      <c r="L124" s="199">
        <f t="shared" si="13"/>
        <v>159154.85043331684</v>
      </c>
      <c r="M124" s="200"/>
      <c r="N124" s="200"/>
      <c r="O124" s="200"/>
      <c r="P124" s="200"/>
    </row>
    <row r="125" spans="1:16" s="142" customFormat="1" ht="16.5" customHeight="1">
      <c r="A125" s="54">
        <v>6</v>
      </c>
      <c r="B125" s="11">
        <v>426000</v>
      </c>
      <c r="C125" s="8"/>
      <c r="D125" s="287" t="s">
        <v>273</v>
      </c>
      <c r="E125" s="287"/>
      <c r="F125" s="132">
        <f>+F126+F131+F132+F139+F152+F160</f>
        <v>51851283.61133413</v>
      </c>
      <c r="G125" s="216">
        <f t="shared" si="10"/>
        <v>25925641.805667065</v>
      </c>
      <c r="H125" s="132">
        <f>+H126+H131+H132+H139+H152+H160</f>
        <v>10953378.171846464</v>
      </c>
      <c r="I125" s="219">
        <f t="shared" si="11"/>
        <v>5476689.085923232</v>
      </c>
      <c r="J125" s="133">
        <f>+J126+J131+J132+J139+J152+J160</f>
        <v>25763931.107913982</v>
      </c>
      <c r="K125" s="219">
        <f t="shared" si="12"/>
        <v>12881965.553956991</v>
      </c>
      <c r="L125" s="199">
        <f t="shared" si="13"/>
        <v>88568592.89109458</v>
      </c>
      <c r="M125" s="200"/>
      <c r="N125" s="200"/>
      <c r="O125" s="200"/>
      <c r="P125" s="200"/>
    </row>
    <row r="126" spans="1:16" s="142" customFormat="1" ht="11.25">
      <c r="A126" s="121"/>
      <c r="B126" s="4"/>
      <c r="C126" s="102" t="s">
        <v>274</v>
      </c>
      <c r="D126" s="11">
        <v>426100</v>
      </c>
      <c r="E126" s="122" t="s">
        <v>275</v>
      </c>
      <c r="F126" s="146">
        <f>+F127+F128+F129+F130</f>
        <v>2308805.598221779</v>
      </c>
      <c r="G126" s="216">
        <f t="shared" si="10"/>
        <v>1154402.7991108894</v>
      </c>
      <c r="H126" s="146">
        <f>+H127+H128+H129+H130</f>
        <v>370189.87674674706</v>
      </c>
      <c r="I126" s="219">
        <f t="shared" si="11"/>
        <v>185094.93837337353</v>
      </c>
      <c r="J126" s="147">
        <f>+J127+J128+J129+J130</f>
        <v>316835.54520959937</v>
      </c>
      <c r="K126" s="219">
        <f t="shared" si="12"/>
        <v>158417.77260479968</v>
      </c>
      <c r="L126" s="199">
        <f t="shared" si="13"/>
        <v>2995831.0201781252</v>
      </c>
      <c r="M126" s="200"/>
      <c r="N126" s="200"/>
      <c r="O126" s="200"/>
      <c r="P126" s="200"/>
    </row>
    <row r="127" spans="1:16" s="142" customFormat="1" ht="11.25">
      <c r="A127" s="123"/>
      <c r="B127" s="305"/>
      <c r="C127" s="103" t="s">
        <v>276</v>
      </c>
      <c r="D127" s="8">
        <v>426111</v>
      </c>
      <c r="E127" s="19" t="s">
        <v>277</v>
      </c>
      <c r="F127" s="230">
        <v>202116.614207634</v>
      </c>
      <c r="G127" s="216">
        <f aca="true" t="shared" si="14" ref="G127:G158">+F127/2</f>
        <v>101058.307103817</v>
      </c>
      <c r="H127" s="230">
        <v>72051.0798820102</v>
      </c>
      <c r="I127" s="219">
        <f aca="true" t="shared" si="15" ref="I127:I158">+H127/2</f>
        <v>36025.5399410051</v>
      </c>
      <c r="J127" s="238">
        <v>46342.907395785995</v>
      </c>
      <c r="K127" s="219">
        <f aca="true" t="shared" si="16" ref="K127:K158">+J127/2</f>
        <v>23171.453697892997</v>
      </c>
      <c r="L127" s="197">
        <f aca="true" t="shared" si="17" ref="L127:L158">+F127+H127+J127</f>
        <v>320510.60148543026</v>
      </c>
      <c r="M127" s="200"/>
      <c r="N127" s="200"/>
      <c r="O127" s="200"/>
      <c r="P127" s="200"/>
    </row>
    <row r="128" spans="1:16" s="142" customFormat="1" ht="11.25">
      <c r="A128" s="123"/>
      <c r="B128" s="305"/>
      <c r="C128" s="103" t="s">
        <v>278</v>
      </c>
      <c r="D128" s="8">
        <v>4261111</v>
      </c>
      <c r="E128" s="19" t="s">
        <v>279</v>
      </c>
      <c r="F128" s="230">
        <v>1518628.3155474393</v>
      </c>
      <c r="G128" s="216">
        <f t="shared" si="14"/>
        <v>759314.1577737196</v>
      </c>
      <c r="H128" s="230">
        <v>287514.3136480738</v>
      </c>
      <c r="I128" s="219">
        <f t="shared" si="15"/>
        <v>143757.1568240369</v>
      </c>
      <c r="J128" s="238">
        <v>188291.23848956003</v>
      </c>
      <c r="K128" s="219">
        <f t="shared" si="16"/>
        <v>94145.61924478001</v>
      </c>
      <c r="L128" s="197">
        <f t="shared" si="17"/>
        <v>1994433.8676850733</v>
      </c>
      <c r="M128" s="200"/>
      <c r="N128" s="200"/>
      <c r="O128" s="200"/>
      <c r="P128" s="200"/>
    </row>
    <row r="129" spans="1:16" s="142" customFormat="1" ht="11.25">
      <c r="A129" s="123"/>
      <c r="B129" s="305"/>
      <c r="C129" s="103" t="s">
        <v>280</v>
      </c>
      <c r="D129" s="8">
        <v>4261112</v>
      </c>
      <c r="E129" s="19" t="s">
        <v>281</v>
      </c>
      <c r="F129" s="222">
        <v>62803.16413636283</v>
      </c>
      <c r="G129" s="216">
        <f t="shared" si="14"/>
        <v>31401.582068181415</v>
      </c>
      <c r="H129" s="222">
        <v>7007.979852443397</v>
      </c>
      <c r="I129" s="219">
        <f t="shared" si="15"/>
        <v>3503.9899262216986</v>
      </c>
      <c r="J129" s="226">
        <v>82201.39932425333</v>
      </c>
      <c r="K129" s="219">
        <f t="shared" si="16"/>
        <v>41100.699662126666</v>
      </c>
      <c r="L129" s="197">
        <f t="shared" si="17"/>
        <v>152012.54331305955</v>
      </c>
      <c r="M129" s="200"/>
      <c r="N129" s="200"/>
      <c r="O129" s="200"/>
      <c r="P129" s="200"/>
    </row>
    <row r="130" spans="1:16" s="142" customFormat="1" ht="11.25">
      <c r="A130" s="123"/>
      <c r="B130" s="305"/>
      <c r="C130" s="103" t="s">
        <v>285</v>
      </c>
      <c r="D130" s="8">
        <v>426124</v>
      </c>
      <c r="E130" s="19" t="s">
        <v>286</v>
      </c>
      <c r="F130" s="222">
        <v>525257.5043303426</v>
      </c>
      <c r="G130" s="216">
        <f t="shared" si="14"/>
        <v>262628.7521651713</v>
      </c>
      <c r="H130" s="222">
        <v>3616.503364219643</v>
      </c>
      <c r="I130" s="219">
        <f t="shared" si="15"/>
        <v>1808.2516821098216</v>
      </c>
      <c r="J130" s="226">
        <v>0</v>
      </c>
      <c r="K130" s="219">
        <f t="shared" si="16"/>
        <v>0</v>
      </c>
      <c r="L130" s="197">
        <f t="shared" si="17"/>
        <v>528874.0076945623</v>
      </c>
      <c r="M130" s="200"/>
      <c r="N130" s="200"/>
      <c r="O130" s="200"/>
      <c r="P130" s="200"/>
    </row>
    <row r="131" spans="1:16" s="142" customFormat="1" ht="22.5">
      <c r="A131" s="123"/>
      <c r="B131" s="93"/>
      <c r="C131" s="102" t="s">
        <v>289</v>
      </c>
      <c r="D131" s="11">
        <v>426300</v>
      </c>
      <c r="E131" s="122" t="s">
        <v>290</v>
      </c>
      <c r="F131" s="146">
        <v>26902.19264456974</v>
      </c>
      <c r="G131" s="216">
        <f t="shared" si="14"/>
        <v>13451.09632228487</v>
      </c>
      <c r="H131" s="146">
        <v>0</v>
      </c>
      <c r="I131" s="219">
        <f t="shared" si="15"/>
        <v>0</v>
      </c>
      <c r="J131" s="147">
        <v>32984.80687429535</v>
      </c>
      <c r="K131" s="219">
        <f t="shared" si="16"/>
        <v>16492.403437147674</v>
      </c>
      <c r="L131" s="199">
        <f t="shared" si="17"/>
        <v>59886.99951886509</v>
      </c>
      <c r="M131" s="200"/>
      <c r="N131" s="200"/>
      <c r="O131" s="200"/>
      <c r="P131" s="200"/>
    </row>
    <row r="132" spans="1:16" s="142" customFormat="1" ht="11.25">
      <c r="A132" s="123"/>
      <c r="B132" s="93"/>
      <c r="C132" s="102" t="s">
        <v>293</v>
      </c>
      <c r="D132" s="11">
        <v>426400</v>
      </c>
      <c r="E132" s="122" t="s">
        <v>294</v>
      </c>
      <c r="F132" s="146">
        <f>+F133+F134+F135+F136+F137+F138</f>
        <v>11260334.24428958</v>
      </c>
      <c r="G132" s="216">
        <f t="shared" si="14"/>
        <v>5630167.12214479</v>
      </c>
      <c r="H132" s="146">
        <f>+H133+H134+H135+H136+H137+H138</f>
        <v>2428803.5518335896</v>
      </c>
      <c r="I132" s="219">
        <f t="shared" si="15"/>
        <v>1214401.7759167948</v>
      </c>
      <c r="J132" s="147">
        <f>+J133+J134+J135+J136+J137+J138</f>
        <v>6265056.335292185</v>
      </c>
      <c r="K132" s="219">
        <f t="shared" si="16"/>
        <v>3132528.1676460924</v>
      </c>
      <c r="L132" s="199">
        <f t="shared" si="17"/>
        <v>19954194.131415352</v>
      </c>
      <c r="M132" s="200"/>
      <c r="N132" s="200"/>
      <c r="O132" s="200"/>
      <c r="P132" s="200"/>
    </row>
    <row r="133" spans="1:16" s="142" customFormat="1" ht="11.25">
      <c r="A133" s="123"/>
      <c r="B133" s="305"/>
      <c r="C133" s="103" t="s">
        <v>295</v>
      </c>
      <c r="D133" s="8">
        <v>4264111</v>
      </c>
      <c r="E133" s="19" t="s">
        <v>296</v>
      </c>
      <c r="F133" s="222">
        <v>253555.31397187532</v>
      </c>
      <c r="G133" s="216">
        <f t="shared" si="14"/>
        <v>126777.65698593766</v>
      </c>
      <c r="H133" s="222">
        <v>816355.7644977546</v>
      </c>
      <c r="I133" s="219">
        <f t="shared" si="15"/>
        <v>408177.8822488773</v>
      </c>
      <c r="J133" s="226">
        <v>1193331.4648568472</v>
      </c>
      <c r="K133" s="219">
        <f t="shared" si="16"/>
        <v>596665.7324284236</v>
      </c>
      <c r="L133" s="197">
        <f t="shared" si="17"/>
        <v>2263242.543326477</v>
      </c>
      <c r="M133" s="200"/>
      <c r="N133" s="200"/>
      <c r="O133" s="200"/>
      <c r="P133" s="200"/>
    </row>
    <row r="134" spans="1:16" s="142" customFormat="1" ht="11.25">
      <c r="A134" s="123"/>
      <c r="B134" s="305"/>
      <c r="C134" s="103" t="s">
        <v>297</v>
      </c>
      <c r="D134" s="8">
        <v>4264112</v>
      </c>
      <c r="E134" s="19" t="s">
        <v>298</v>
      </c>
      <c r="F134" s="222">
        <v>1285957.8558566158</v>
      </c>
      <c r="G134" s="216">
        <f t="shared" si="14"/>
        <v>642978.9279283079</v>
      </c>
      <c r="H134" s="222">
        <v>23150.512982205517</v>
      </c>
      <c r="I134" s="219">
        <f t="shared" si="15"/>
        <v>11575.256491102758</v>
      </c>
      <c r="J134" s="226">
        <v>908644.450888137</v>
      </c>
      <c r="K134" s="219">
        <f t="shared" si="16"/>
        <v>454322.2254440685</v>
      </c>
      <c r="L134" s="197">
        <f t="shared" si="17"/>
        <v>2217752.8197269584</v>
      </c>
      <c r="M134" s="200"/>
      <c r="N134" s="200"/>
      <c r="O134" s="200"/>
      <c r="P134" s="200"/>
    </row>
    <row r="135" spans="1:16" s="142" customFormat="1" ht="11.25">
      <c r="A135" s="123"/>
      <c r="B135" s="305"/>
      <c r="C135" s="103" t="s">
        <v>299</v>
      </c>
      <c r="D135" s="8">
        <v>426412</v>
      </c>
      <c r="E135" s="19" t="s">
        <v>300</v>
      </c>
      <c r="F135" s="222">
        <v>8909364.584080167</v>
      </c>
      <c r="G135" s="216">
        <f t="shared" si="14"/>
        <v>4454682.292040084</v>
      </c>
      <c r="H135" s="222">
        <v>1320757.6566707205</v>
      </c>
      <c r="I135" s="219">
        <f t="shared" si="15"/>
        <v>660378.8283353603</v>
      </c>
      <c r="J135" s="226">
        <v>3453041.8005121737</v>
      </c>
      <c r="K135" s="219">
        <f t="shared" si="16"/>
        <v>1726520.9002560868</v>
      </c>
      <c r="L135" s="197">
        <f t="shared" si="17"/>
        <v>13683164.041263063</v>
      </c>
      <c r="M135" s="200"/>
      <c r="N135" s="200"/>
      <c r="O135" s="200"/>
      <c r="P135" s="200"/>
    </row>
    <row r="136" spans="1:16" s="142" customFormat="1" ht="11.25">
      <c r="A136" s="123"/>
      <c r="B136" s="305"/>
      <c r="C136" s="103" t="s">
        <v>301</v>
      </c>
      <c r="D136" s="8">
        <v>426413</v>
      </c>
      <c r="E136" s="19" t="s">
        <v>476</v>
      </c>
      <c r="F136" s="222">
        <v>72279.94181622278</v>
      </c>
      <c r="G136" s="216">
        <f t="shared" si="14"/>
        <v>36139.97090811139</v>
      </c>
      <c r="H136" s="222">
        <v>37259.06110768489</v>
      </c>
      <c r="I136" s="219">
        <f t="shared" si="15"/>
        <v>18629.530553842444</v>
      </c>
      <c r="J136" s="226">
        <v>82871.49418989346</v>
      </c>
      <c r="K136" s="219">
        <f t="shared" si="16"/>
        <v>41435.74709494673</v>
      </c>
      <c r="L136" s="197">
        <f t="shared" si="17"/>
        <v>192410.49711380113</v>
      </c>
      <c r="M136" s="200"/>
      <c r="N136" s="200"/>
      <c r="O136" s="200"/>
      <c r="P136" s="200"/>
    </row>
    <row r="137" spans="1:16" s="142" customFormat="1" ht="11.25">
      <c r="A137" s="123"/>
      <c r="B137" s="305"/>
      <c r="C137" s="103" t="s">
        <v>303</v>
      </c>
      <c r="D137" s="8">
        <v>4264911</v>
      </c>
      <c r="E137" s="19" t="s">
        <v>304</v>
      </c>
      <c r="F137" s="222">
        <v>466133.98885503504</v>
      </c>
      <c r="G137" s="216">
        <f t="shared" si="14"/>
        <v>233066.99442751752</v>
      </c>
      <c r="H137" s="222">
        <v>215344.97984653516</v>
      </c>
      <c r="I137" s="219">
        <f t="shared" si="15"/>
        <v>107672.48992326758</v>
      </c>
      <c r="J137" s="226">
        <v>165680.6298371976</v>
      </c>
      <c r="K137" s="219">
        <f t="shared" si="16"/>
        <v>82840.3149185988</v>
      </c>
      <c r="L137" s="197">
        <f t="shared" si="17"/>
        <v>847159.5985387678</v>
      </c>
      <c r="M137" s="200"/>
      <c r="N137" s="200"/>
      <c r="O137" s="200"/>
      <c r="P137" s="200"/>
    </row>
    <row r="138" spans="1:16" s="142" customFormat="1" ht="11.25">
      <c r="A138" s="123"/>
      <c r="B138" s="305"/>
      <c r="C138" s="103" t="s">
        <v>305</v>
      </c>
      <c r="D138" s="8">
        <v>4264912</v>
      </c>
      <c r="E138" s="19" t="s">
        <v>306</v>
      </c>
      <c r="F138" s="222">
        <v>273042.5597096648</v>
      </c>
      <c r="G138" s="216">
        <f t="shared" si="14"/>
        <v>136521.2798548324</v>
      </c>
      <c r="H138" s="222">
        <v>15935.576728688458</v>
      </c>
      <c r="I138" s="219">
        <f t="shared" si="15"/>
        <v>7967.788364344229</v>
      </c>
      <c r="J138" s="226">
        <v>461486.49500793626</v>
      </c>
      <c r="K138" s="219">
        <f t="shared" si="16"/>
        <v>230743.24750396813</v>
      </c>
      <c r="L138" s="197">
        <f t="shared" si="17"/>
        <v>750464.6314462895</v>
      </c>
      <c r="M138" s="200"/>
      <c r="N138" s="200"/>
      <c r="O138" s="200"/>
      <c r="P138" s="200"/>
    </row>
    <row r="139" spans="1:16" s="142" customFormat="1" ht="11.25">
      <c r="A139" s="123"/>
      <c r="B139" s="93"/>
      <c r="C139" s="102" t="s">
        <v>307</v>
      </c>
      <c r="D139" s="11">
        <v>426700</v>
      </c>
      <c r="E139" s="122" t="s">
        <v>308</v>
      </c>
      <c r="F139" s="140">
        <f>+F140+F145+F146+F150</f>
        <v>36316689</v>
      </c>
      <c r="G139" s="216">
        <f t="shared" si="14"/>
        <v>18158344.5</v>
      </c>
      <c r="H139" s="140">
        <f>+H140+H145+H146+H150</f>
        <v>7144188.181860547</v>
      </c>
      <c r="I139" s="219">
        <f t="shared" si="15"/>
        <v>3572094.0909302733</v>
      </c>
      <c r="J139" s="141">
        <f>+J140+J145+J146+J150</f>
        <v>18514123.174590625</v>
      </c>
      <c r="K139" s="219">
        <f t="shared" si="16"/>
        <v>9257061.587295312</v>
      </c>
      <c r="L139" s="199">
        <f t="shared" si="17"/>
        <v>61975000.35645117</v>
      </c>
      <c r="M139" s="200"/>
      <c r="N139" s="200"/>
      <c r="O139" s="200"/>
      <c r="P139" s="200"/>
    </row>
    <row r="140" spans="1:16" s="142" customFormat="1" ht="11.25">
      <c r="A140" s="123"/>
      <c r="B140" s="93"/>
      <c r="C140" s="102" t="s">
        <v>309</v>
      </c>
      <c r="D140" s="11">
        <v>426710</v>
      </c>
      <c r="E140" s="19" t="s">
        <v>310</v>
      </c>
      <c r="F140" s="146">
        <f>+F141+F142+F143+F144</f>
        <v>7579279</v>
      </c>
      <c r="G140" s="216">
        <f t="shared" si="14"/>
        <v>3789639.5</v>
      </c>
      <c r="H140" s="146">
        <f>+H141+H142+H143+H144</f>
        <v>2192584.7334372085</v>
      </c>
      <c r="I140" s="219">
        <f t="shared" si="15"/>
        <v>1096292.3667186042</v>
      </c>
      <c r="J140" s="147">
        <f>+J141+J142+J143+J144</f>
        <v>4574670.586538097</v>
      </c>
      <c r="K140" s="219">
        <f t="shared" si="16"/>
        <v>2287335.2932690484</v>
      </c>
      <c r="L140" s="199">
        <f t="shared" si="17"/>
        <v>14346534.319975305</v>
      </c>
      <c r="M140" s="200"/>
      <c r="N140" s="200"/>
      <c r="O140" s="200"/>
      <c r="P140" s="200"/>
    </row>
    <row r="141" spans="1:16" s="142" customFormat="1" ht="11.25">
      <c r="A141" s="123"/>
      <c r="B141" s="305"/>
      <c r="C141" s="103" t="s">
        <v>311</v>
      </c>
      <c r="D141" s="8">
        <v>426711</v>
      </c>
      <c r="E141" s="19" t="s">
        <v>312</v>
      </c>
      <c r="F141" s="222">
        <f>7109864+93443</f>
        <v>7203307</v>
      </c>
      <c r="G141" s="216">
        <f t="shared" si="14"/>
        <v>3601653.5</v>
      </c>
      <c r="H141" s="222">
        <v>2069756.5255094892</v>
      </c>
      <c r="I141" s="219">
        <f t="shared" si="15"/>
        <v>1034878.2627547446</v>
      </c>
      <c r="J141" s="226">
        <v>4235856.344451628</v>
      </c>
      <c r="K141" s="219">
        <f t="shared" si="16"/>
        <v>2117928.172225814</v>
      </c>
      <c r="L141" s="197">
        <f t="shared" si="17"/>
        <v>13508919.869961116</v>
      </c>
      <c r="M141" s="200"/>
      <c r="N141" s="200"/>
      <c r="O141" s="200"/>
      <c r="P141" s="200"/>
    </row>
    <row r="142" spans="1:16" s="142" customFormat="1" ht="11.25">
      <c r="A142" s="123"/>
      <c r="B142" s="305"/>
      <c r="C142" s="103" t="s">
        <v>313</v>
      </c>
      <c r="D142" s="8">
        <v>42671102</v>
      </c>
      <c r="E142" s="19" t="s">
        <v>314</v>
      </c>
      <c r="F142" s="222">
        <v>0</v>
      </c>
      <c r="G142" s="216">
        <f t="shared" si="14"/>
        <v>0</v>
      </c>
      <c r="H142" s="222">
        <v>0</v>
      </c>
      <c r="I142" s="219">
        <f t="shared" si="15"/>
        <v>0</v>
      </c>
      <c r="J142" s="226">
        <v>56789.444994193575</v>
      </c>
      <c r="K142" s="219">
        <f t="shared" si="16"/>
        <v>28394.722497096787</v>
      </c>
      <c r="L142" s="197">
        <f t="shared" si="17"/>
        <v>56789.444994193575</v>
      </c>
      <c r="M142" s="200"/>
      <c r="N142" s="200"/>
      <c r="O142" s="200"/>
      <c r="P142" s="200"/>
    </row>
    <row r="143" spans="1:16" s="142" customFormat="1" ht="11.25">
      <c r="A143" s="123"/>
      <c r="B143" s="305"/>
      <c r="C143" s="103" t="s">
        <v>315</v>
      </c>
      <c r="D143" s="8">
        <v>42671103</v>
      </c>
      <c r="E143" s="19" t="s">
        <v>316</v>
      </c>
      <c r="F143" s="222">
        <v>347599</v>
      </c>
      <c r="G143" s="216">
        <f t="shared" si="14"/>
        <v>173799.5</v>
      </c>
      <c r="H143" s="222">
        <v>100776.02511136285</v>
      </c>
      <c r="I143" s="219">
        <f t="shared" si="15"/>
        <v>50388.012555681424</v>
      </c>
      <c r="J143" s="226">
        <v>212767.96560907894</v>
      </c>
      <c r="K143" s="219">
        <f t="shared" si="16"/>
        <v>106383.98280453947</v>
      </c>
      <c r="L143" s="197">
        <f t="shared" si="17"/>
        <v>661142.9907204418</v>
      </c>
      <c r="M143" s="200"/>
      <c r="N143" s="200"/>
      <c r="O143" s="200"/>
      <c r="P143" s="200"/>
    </row>
    <row r="144" spans="1:16" s="142" customFormat="1" ht="11.25">
      <c r="A144" s="123"/>
      <c r="B144" s="305"/>
      <c r="C144" s="103" t="s">
        <v>317</v>
      </c>
      <c r="D144" s="8">
        <v>42671105</v>
      </c>
      <c r="E144" s="19" t="s">
        <v>318</v>
      </c>
      <c r="F144" s="222">
        <v>28373</v>
      </c>
      <c r="G144" s="216">
        <f t="shared" si="14"/>
        <v>14186.5</v>
      </c>
      <c r="H144" s="222">
        <v>22052.18281635639</v>
      </c>
      <c r="I144" s="219">
        <f t="shared" si="15"/>
        <v>11026.091408178196</v>
      </c>
      <c r="J144" s="226">
        <v>69256.83148319663</v>
      </c>
      <c r="K144" s="219">
        <f t="shared" si="16"/>
        <v>34628.41574159831</v>
      </c>
      <c r="L144" s="197">
        <f t="shared" si="17"/>
        <v>119682.01429955302</v>
      </c>
      <c r="M144" s="200"/>
      <c r="N144" s="200"/>
      <c r="O144" s="200"/>
      <c r="P144" s="200"/>
    </row>
    <row r="145" spans="1:16" s="142" customFormat="1" ht="11.25">
      <c r="A145" s="123"/>
      <c r="B145" s="93"/>
      <c r="C145" s="102" t="s">
        <v>321</v>
      </c>
      <c r="D145" s="11">
        <v>426721</v>
      </c>
      <c r="E145" s="122" t="s">
        <v>322</v>
      </c>
      <c r="F145" s="140">
        <v>8120019</v>
      </c>
      <c r="G145" s="216">
        <f t="shared" si="14"/>
        <v>4060009.5</v>
      </c>
      <c r="H145" s="140">
        <v>992015.9033171827</v>
      </c>
      <c r="I145" s="219">
        <f t="shared" si="15"/>
        <v>496007.95165859134</v>
      </c>
      <c r="J145" s="141">
        <v>4637563.845212778</v>
      </c>
      <c r="K145" s="219">
        <f t="shared" si="16"/>
        <v>2318781.922606389</v>
      </c>
      <c r="L145" s="199">
        <f t="shared" si="17"/>
        <v>13749598.748529961</v>
      </c>
      <c r="M145" s="200"/>
      <c r="N145" s="200"/>
      <c r="O145" s="200"/>
      <c r="P145" s="200"/>
    </row>
    <row r="146" spans="1:16" s="142" customFormat="1" ht="11.25">
      <c r="A146" s="123"/>
      <c r="B146" s="4"/>
      <c r="C146" s="102" t="s">
        <v>323</v>
      </c>
      <c r="D146" s="11">
        <v>426750</v>
      </c>
      <c r="E146" s="122" t="s">
        <v>324</v>
      </c>
      <c r="F146" s="146">
        <f>+F147+F148+F149</f>
        <v>20617391</v>
      </c>
      <c r="G146" s="216">
        <f t="shared" si="14"/>
        <v>10308695.5</v>
      </c>
      <c r="H146" s="146">
        <f>+H147+H148+H149</f>
        <v>3780705</v>
      </c>
      <c r="I146" s="219">
        <f t="shared" si="15"/>
        <v>1890352.5</v>
      </c>
      <c r="J146" s="147">
        <f>+J147+J148+J149</f>
        <v>8709904</v>
      </c>
      <c r="K146" s="219">
        <f t="shared" si="16"/>
        <v>4354952</v>
      </c>
      <c r="L146" s="199">
        <f t="shared" si="17"/>
        <v>33108000</v>
      </c>
      <c r="M146" s="200"/>
      <c r="N146" s="200"/>
      <c r="O146" s="200"/>
      <c r="P146" s="200"/>
    </row>
    <row r="147" spans="1:16" s="142" customFormat="1" ht="11.25">
      <c r="A147" s="123"/>
      <c r="B147" s="306"/>
      <c r="C147" s="103" t="s">
        <v>325</v>
      </c>
      <c r="D147" s="8">
        <v>426751</v>
      </c>
      <c r="E147" s="19" t="s">
        <v>326</v>
      </c>
      <c r="F147" s="222">
        <f>14896910-547336-409402</f>
        <v>13940172</v>
      </c>
      <c r="G147" s="216">
        <f t="shared" si="14"/>
        <v>6970086</v>
      </c>
      <c r="H147" s="222">
        <f>3880108-133164-100396</f>
        <v>3646548</v>
      </c>
      <c r="I147" s="219">
        <f t="shared" si="15"/>
        <v>1823274</v>
      </c>
      <c r="J147" s="226">
        <f>6368963-79436+25180-212126</f>
        <v>6102581</v>
      </c>
      <c r="K147" s="219">
        <f t="shared" si="16"/>
        <v>3051290.5</v>
      </c>
      <c r="L147" s="197">
        <f t="shared" si="17"/>
        <v>23689301</v>
      </c>
      <c r="M147" s="200"/>
      <c r="N147" s="200"/>
      <c r="O147" s="200"/>
      <c r="P147" s="200"/>
    </row>
    <row r="148" spans="1:16" s="142" customFormat="1" ht="11.25">
      <c r="A148" s="123"/>
      <c r="B148" s="306"/>
      <c r="C148" s="103" t="s">
        <v>327</v>
      </c>
      <c r="D148" s="8">
        <v>42675100</v>
      </c>
      <c r="E148" s="19" t="s">
        <v>477</v>
      </c>
      <c r="F148" s="222">
        <f>794180-79968-200000</f>
        <v>514212</v>
      </c>
      <c r="G148" s="216">
        <f t="shared" si="14"/>
        <v>257106</v>
      </c>
      <c r="H148" s="222">
        <f>227378-34221-59000</f>
        <v>134157</v>
      </c>
      <c r="I148" s="219">
        <f t="shared" si="15"/>
        <v>67078.5</v>
      </c>
      <c r="J148" s="226">
        <f>172397-7638-50000</f>
        <v>114759</v>
      </c>
      <c r="K148" s="219">
        <f t="shared" si="16"/>
        <v>57379.5</v>
      </c>
      <c r="L148" s="197">
        <f t="shared" si="17"/>
        <v>763128</v>
      </c>
      <c r="M148" s="200"/>
      <c r="N148" s="200"/>
      <c r="O148" s="200"/>
      <c r="P148" s="200"/>
    </row>
    <row r="149" spans="1:16" s="142" customFormat="1" ht="11.25">
      <c r="A149" s="123"/>
      <c r="B149" s="109"/>
      <c r="C149" s="103" t="s">
        <v>329</v>
      </c>
      <c r="D149" s="8">
        <v>42675108</v>
      </c>
      <c r="E149" s="19" t="s">
        <v>330</v>
      </c>
      <c r="F149" s="222">
        <v>6163007</v>
      </c>
      <c r="G149" s="216">
        <f t="shared" si="14"/>
        <v>3081503.5</v>
      </c>
      <c r="H149" s="196"/>
      <c r="I149" s="219">
        <f t="shared" si="15"/>
        <v>0</v>
      </c>
      <c r="J149" s="226">
        <v>2492564</v>
      </c>
      <c r="K149" s="219">
        <f t="shared" si="16"/>
        <v>1246282</v>
      </c>
      <c r="L149" s="197">
        <f t="shared" si="17"/>
        <v>8655571</v>
      </c>
      <c r="M149" s="200"/>
      <c r="N149" s="200"/>
      <c r="O149" s="200"/>
      <c r="P149" s="200"/>
    </row>
    <row r="150" spans="1:16" s="142" customFormat="1" ht="11.25">
      <c r="A150" s="123"/>
      <c r="B150" s="109"/>
      <c r="C150" s="102" t="s">
        <v>333</v>
      </c>
      <c r="D150" s="11">
        <v>426790</v>
      </c>
      <c r="E150" s="122" t="s">
        <v>334</v>
      </c>
      <c r="F150" s="140">
        <f>+F151</f>
        <v>0</v>
      </c>
      <c r="G150" s="216">
        <f t="shared" si="14"/>
        <v>0</v>
      </c>
      <c r="H150" s="146">
        <f>+H151</f>
        <v>178882.54510615463</v>
      </c>
      <c r="I150" s="219">
        <f t="shared" si="15"/>
        <v>89441.27255307732</v>
      </c>
      <c r="J150" s="147">
        <f>+J151</f>
        <v>591984.7428397505</v>
      </c>
      <c r="K150" s="219">
        <f t="shared" si="16"/>
        <v>295992.37141987524</v>
      </c>
      <c r="L150" s="199">
        <f t="shared" si="17"/>
        <v>770867.2879459051</v>
      </c>
      <c r="M150" s="200"/>
      <c r="N150" s="200"/>
      <c r="O150" s="200"/>
      <c r="P150" s="200"/>
    </row>
    <row r="151" spans="1:16" s="142" customFormat="1" ht="11.25">
      <c r="A151" s="123"/>
      <c r="B151" s="109"/>
      <c r="C151" s="103" t="s">
        <v>478</v>
      </c>
      <c r="D151" s="8">
        <v>42679104</v>
      </c>
      <c r="E151" s="19" t="s">
        <v>337</v>
      </c>
      <c r="F151" s="222"/>
      <c r="G151" s="216">
        <f t="shared" si="14"/>
        <v>0</v>
      </c>
      <c r="H151" s="222">
        <v>178882.54510615463</v>
      </c>
      <c r="I151" s="219">
        <f t="shared" si="15"/>
        <v>89441.27255307732</v>
      </c>
      <c r="J151" s="226">
        <v>591984.7428397505</v>
      </c>
      <c r="K151" s="219">
        <f t="shared" si="16"/>
        <v>295992.37141987524</v>
      </c>
      <c r="L151" s="197">
        <f t="shared" si="17"/>
        <v>770867.2879459051</v>
      </c>
      <c r="M151" s="200"/>
      <c r="N151" s="200"/>
      <c r="O151" s="200"/>
      <c r="P151" s="200"/>
    </row>
    <row r="152" spans="1:16" s="142" customFormat="1" ht="11.25">
      <c r="A152" s="123"/>
      <c r="B152" s="93"/>
      <c r="C152" s="102" t="s">
        <v>340</v>
      </c>
      <c r="D152" s="11">
        <v>426800</v>
      </c>
      <c r="E152" s="122" t="s">
        <v>341</v>
      </c>
      <c r="F152" s="140">
        <f>+F153+F155+F158+F157+F156+F154+F159</f>
        <v>1189208.4867266614</v>
      </c>
      <c r="G152" s="216">
        <f t="shared" si="14"/>
        <v>594604.2433633307</v>
      </c>
      <c r="H152" s="140">
        <f>+H153+H155+H158+H157+H156+H154</f>
        <v>717406.7452309717</v>
      </c>
      <c r="I152" s="219">
        <f t="shared" si="15"/>
        <v>358703.37261548586</v>
      </c>
      <c r="J152" s="141">
        <f>+J153+J155+J158+J157+J156+J154</f>
        <v>329710.99106650887</v>
      </c>
      <c r="K152" s="219">
        <f t="shared" si="16"/>
        <v>164855.49553325443</v>
      </c>
      <c r="L152" s="199">
        <f t="shared" si="17"/>
        <v>2236326.223024142</v>
      </c>
      <c r="M152" s="200"/>
      <c r="N152" s="200"/>
      <c r="O152" s="200"/>
      <c r="P152" s="200"/>
    </row>
    <row r="153" spans="1:16" s="142" customFormat="1" ht="11.25">
      <c r="A153" s="123"/>
      <c r="B153" s="306"/>
      <c r="C153" s="103" t="s">
        <v>342</v>
      </c>
      <c r="D153" s="8">
        <v>426811</v>
      </c>
      <c r="E153" s="19" t="s">
        <v>343</v>
      </c>
      <c r="F153" s="222">
        <v>1061153.2690330215</v>
      </c>
      <c r="G153" s="216">
        <f t="shared" si="14"/>
        <v>530576.6345165108</v>
      </c>
      <c r="H153" s="222">
        <v>415732.5610171803</v>
      </c>
      <c r="I153" s="219">
        <f t="shared" si="15"/>
        <v>207866.28050859016</v>
      </c>
      <c r="J153" s="226">
        <v>3552.2099710779607</v>
      </c>
      <c r="K153" s="219">
        <f t="shared" si="16"/>
        <v>1776.1049855389804</v>
      </c>
      <c r="L153" s="197">
        <f t="shared" si="17"/>
        <v>1480438.0400212798</v>
      </c>
      <c r="M153" s="200"/>
      <c r="N153" s="200"/>
      <c r="O153" s="200"/>
      <c r="P153" s="200"/>
    </row>
    <row r="154" spans="1:16" s="142" customFormat="1" ht="11.25">
      <c r="A154" s="123"/>
      <c r="B154" s="306"/>
      <c r="C154" s="103" t="s">
        <v>344</v>
      </c>
      <c r="D154" s="8">
        <v>42681101</v>
      </c>
      <c r="E154" s="19" t="s">
        <v>345</v>
      </c>
      <c r="F154" s="222"/>
      <c r="G154" s="216">
        <f t="shared" si="14"/>
        <v>0</v>
      </c>
      <c r="H154" s="222">
        <v>0</v>
      </c>
      <c r="I154" s="219">
        <f t="shared" si="15"/>
        <v>0</v>
      </c>
      <c r="J154" s="226"/>
      <c r="K154" s="219">
        <f t="shared" si="16"/>
        <v>0</v>
      </c>
      <c r="L154" s="197">
        <f t="shared" si="17"/>
        <v>0</v>
      </c>
      <c r="M154" s="200"/>
      <c r="N154" s="200"/>
      <c r="O154" s="200"/>
      <c r="P154" s="200"/>
    </row>
    <row r="155" spans="1:16" s="142" customFormat="1" ht="11.25">
      <c r="A155" s="123"/>
      <c r="B155" s="306"/>
      <c r="C155" s="103" t="s">
        <v>346</v>
      </c>
      <c r="D155" s="8">
        <v>426823</v>
      </c>
      <c r="E155" s="19" t="s">
        <v>347</v>
      </c>
      <c r="F155" s="222">
        <v>0</v>
      </c>
      <c r="G155" s="216">
        <f t="shared" si="14"/>
        <v>0</v>
      </c>
      <c r="H155" s="222">
        <v>125222</v>
      </c>
      <c r="I155" s="219">
        <f t="shared" si="15"/>
        <v>62611</v>
      </c>
      <c r="J155" s="226">
        <v>263421</v>
      </c>
      <c r="K155" s="219">
        <f t="shared" si="16"/>
        <v>131710.5</v>
      </c>
      <c r="L155" s="197">
        <f t="shared" si="17"/>
        <v>388643</v>
      </c>
      <c r="M155" s="200"/>
      <c r="N155" s="200"/>
      <c r="O155" s="200"/>
      <c r="P155" s="200"/>
    </row>
    <row r="156" spans="1:16" s="142" customFormat="1" ht="11.25">
      <c r="A156" s="123"/>
      <c r="B156" s="306"/>
      <c r="C156" s="103" t="s">
        <v>348</v>
      </c>
      <c r="D156" s="8">
        <v>42682301</v>
      </c>
      <c r="E156" s="19" t="s">
        <v>349</v>
      </c>
      <c r="F156" s="222"/>
      <c r="G156" s="216">
        <f t="shared" si="14"/>
        <v>0</v>
      </c>
      <c r="H156" s="222">
        <v>173970</v>
      </c>
      <c r="I156" s="219">
        <f t="shared" si="15"/>
        <v>86985</v>
      </c>
      <c r="J156" s="226">
        <v>47227</v>
      </c>
      <c r="K156" s="219">
        <f t="shared" si="16"/>
        <v>23613.5</v>
      </c>
      <c r="L156" s="197">
        <f t="shared" si="17"/>
        <v>221197</v>
      </c>
      <c r="M156" s="200"/>
      <c r="N156" s="200"/>
      <c r="O156" s="200"/>
      <c r="P156" s="200"/>
    </row>
    <row r="157" spans="1:16" s="142" customFormat="1" ht="11.25">
      <c r="A157" s="123"/>
      <c r="B157" s="306"/>
      <c r="C157" s="103" t="s">
        <v>350</v>
      </c>
      <c r="D157" s="8">
        <v>4268292</v>
      </c>
      <c r="E157" s="19" t="s">
        <v>351</v>
      </c>
      <c r="F157" s="222">
        <v>4144.627665026321</v>
      </c>
      <c r="G157" s="216">
        <f t="shared" si="14"/>
        <v>2072.3138325131604</v>
      </c>
      <c r="H157" s="222">
        <v>783.0016807612053</v>
      </c>
      <c r="I157" s="219">
        <f t="shared" si="15"/>
        <v>391.50084038060265</v>
      </c>
      <c r="J157" s="226">
        <v>4904.667419665497</v>
      </c>
      <c r="K157" s="219">
        <f t="shared" si="16"/>
        <v>2452.3337098327484</v>
      </c>
      <c r="L157" s="197">
        <f t="shared" si="17"/>
        <v>9832.296765453022</v>
      </c>
      <c r="M157" s="200"/>
      <c r="N157" s="200"/>
      <c r="O157" s="200"/>
      <c r="P157" s="200"/>
    </row>
    <row r="158" spans="1:16" s="142" customFormat="1" ht="11.25">
      <c r="A158" s="123"/>
      <c r="B158" s="306"/>
      <c r="C158" s="103" t="s">
        <v>352</v>
      </c>
      <c r="D158" s="8">
        <v>426829</v>
      </c>
      <c r="E158" s="19" t="s">
        <v>479</v>
      </c>
      <c r="F158" s="222">
        <v>85851.19748134993</v>
      </c>
      <c r="G158" s="216">
        <f t="shared" si="14"/>
        <v>42925.59874067496</v>
      </c>
      <c r="H158" s="222">
        <v>1699.1825330301815</v>
      </c>
      <c r="I158" s="219">
        <f t="shared" si="15"/>
        <v>849.5912665150908</v>
      </c>
      <c r="J158" s="226">
        <v>10606.113675765417</v>
      </c>
      <c r="K158" s="219">
        <f t="shared" si="16"/>
        <v>5303.056837882708</v>
      </c>
      <c r="L158" s="197">
        <f t="shared" si="17"/>
        <v>98156.49369014552</v>
      </c>
      <c r="M158" s="200"/>
      <c r="N158" s="200"/>
      <c r="O158" s="200"/>
      <c r="P158" s="200"/>
    </row>
    <row r="159" spans="1:16" s="142" customFormat="1" ht="11.25">
      <c r="A159" s="123"/>
      <c r="B159" s="306"/>
      <c r="C159" s="103" t="s">
        <v>354</v>
      </c>
      <c r="D159" s="8">
        <v>4268291</v>
      </c>
      <c r="E159" s="19" t="s">
        <v>286</v>
      </c>
      <c r="F159" s="222">
        <v>38059.392547263866</v>
      </c>
      <c r="G159" s="216">
        <f aca="true" t="shared" si="18" ref="G159:G190">+F159/2</f>
        <v>19029.696273631933</v>
      </c>
      <c r="H159" s="222"/>
      <c r="I159" s="219">
        <f aca="true" t="shared" si="19" ref="I159:I190">+H159/2</f>
        <v>0</v>
      </c>
      <c r="J159" s="226"/>
      <c r="K159" s="219">
        <f aca="true" t="shared" si="20" ref="K159:K190">+J159/2</f>
        <v>0</v>
      </c>
      <c r="L159" s="197">
        <f aca="true" t="shared" si="21" ref="L159:L182">+F159+H159+J159</f>
        <v>38059.392547263866</v>
      </c>
      <c r="M159" s="200"/>
      <c r="N159" s="200"/>
      <c r="O159" s="200"/>
      <c r="P159" s="200"/>
    </row>
    <row r="160" spans="1:16" s="142" customFormat="1" ht="11.25">
      <c r="A160" s="123"/>
      <c r="B160" s="93"/>
      <c r="C160" s="102" t="s">
        <v>355</v>
      </c>
      <c r="D160" s="11">
        <v>426900</v>
      </c>
      <c r="E160" s="122" t="s">
        <v>356</v>
      </c>
      <c r="F160" s="140">
        <f>+F161+F163+F164+F165+F162</f>
        <v>749344.0894515344</v>
      </c>
      <c r="G160" s="216">
        <f t="shared" si="18"/>
        <v>374672.0447257672</v>
      </c>
      <c r="H160" s="140">
        <f>+H161+H163+H164+H165+H162</f>
        <v>292789.8161746101</v>
      </c>
      <c r="I160" s="219">
        <f t="shared" si="19"/>
        <v>146394.90808730506</v>
      </c>
      <c r="J160" s="141">
        <f>+J161+J163+J164+J165+J162</f>
        <v>305220.2548807708</v>
      </c>
      <c r="K160" s="219">
        <f t="shared" si="20"/>
        <v>152610.1274403854</v>
      </c>
      <c r="L160" s="199">
        <f t="shared" si="21"/>
        <v>1347354.1605069153</v>
      </c>
      <c r="M160" s="200"/>
      <c r="N160" s="200"/>
      <c r="O160" s="200"/>
      <c r="P160" s="200"/>
    </row>
    <row r="161" spans="1:16" s="142" customFormat="1" ht="11.25">
      <c r="A161" s="123"/>
      <c r="B161" s="306"/>
      <c r="C161" s="103" t="s">
        <v>357</v>
      </c>
      <c r="D161" s="8">
        <v>426911</v>
      </c>
      <c r="E161" s="19" t="s">
        <v>358</v>
      </c>
      <c r="F161" s="222">
        <v>929.958007942194</v>
      </c>
      <c r="G161" s="216">
        <f t="shared" si="18"/>
        <v>464.979003971097</v>
      </c>
      <c r="H161" s="222">
        <v>0</v>
      </c>
      <c r="I161" s="219">
        <f t="shared" si="19"/>
        <v>0</v>
      </c>
      <c r="J161" s="226">
        <v>172.2144459152211</v>
      </c>
      <c r="K161" s="219">
        <f t="shared" si="20"/>
        <v>86.10722295761055</v>
      </c>
      <c r="L161" s="197">
        <f t="shared" si="21"/>
        <v>1102.1724538574151</v>
      </c>
      <c r="M161" s="200"/>
      <c r="N161" s="200"/>
      <c r="O161" s="200"/>
      <c r="P161" s="200"/>
    </row>
    <row r="162" spans="1:16" s="142" customFormat="1" ht="11.25">
      <c r="A162" s="123"/>
      <c r="B162" s="306"/>
      <c r="C162" s="103" t="s">
        <v>359</v>
      </c>
      <c r="D162" s="8">
        <v>426912</v>
      </c>
      <c r="E162" s="19" t="s">
        <v>360</v>
      </c>
      <c r="F162" s="222">
        <v>5222.690096455605</v>
      </c>
      <c r="G162" s="216">
        <f t="shared" si="18"/>
        <v>2611.3450482278026</v>
      </c>
      <c r="H162" s="222">
        <v>11606.1055583798</v>
      </c>
      <c r="I162" s="219">
        <f t="shared" si="19"/>
        <v>5803.0527791899</v>
      </c>
      <c r="J162" s="226">
        <v>6083.7623260317105</v>
      </c>
      <c r="K162" s="219">
        <f t="shared" si="20"/>
        <v>3041.8811630158552</v>
      </c>
      <c r="L162" s="197">
        <f t="shared" si="21"/>
        <v>22912.557980867117</v>
      </c>
      <c r="M162" s="200"/>
      <c r="N162" s="200"/>
      <c r="O162" s="200"/>
      <c r="P162" s="200"/>
    </row>
    <row r="163" spans="1:16" s="142" customFormat="1" ht="11.25">
      <c r="A163" s="123"/>
      <c r="B163" s="306"/>
      <c r="C163" s="103" t="s">
        <v>361</v>
      </c>
      <c r="D163" s="8">
        <v>4269121</v>
      </c>
      <c r="E163" s="19" t="s">
        <v>362</v>
      </c>
      <c r="F163" s="222">
        <v>5222.690096455605</v>
      </c>
      <c r="G163" s="216">
        <f t="shared" si="18"/>
        <v>2611.3450482278026</v>
      </c>
      <c r="H163" s="222">
        <v>14270.837084841321</v>
      </c>
      <c r="I163" s="219">
        <f t="shared" si="19"/>
        <v>7135.418542420661</v>
      </c>
      <c r="J163" s="226">
        <v>14440.75533814434</v>
      </c>
      <c r="K163" s="219">
        <f t="shared" si="20"/>
        <v>7220.37766907217</v>
      </c>
      <c r="L163" s="197">
        <f t="shared" si="21"/>
        <v>33934.282519441265</v>
      </c>
      <c r="M163" s="200"/>
      <c r="N163" s="200"/>
      <c r="O163" s="200"/>
      <c r="P163" s="200"/>
    </row>
    <row r="164" spans="1:16" s="142" customFormat="1" ht="11.25">
      <c r="A164" s="123"/>
      <c r="B164" s="306"/>
      <c r="C164" s="103" t="s">
        <v>363</v>
      </c>
      <c r="D164" s="8">
        <v>4269122</v>
      </c>
      <c r="E164" s="19" t="s">
        <v>364</v>
      </c>
      <c r="F164" s="222">
        <v>12630.207463422315</v>
      </c>
      <c r="G164" s="216">
        <f t="shared" si="18"/>
        <v>6315.103731711158</v>
      </c>
      <c r="H164" s="222">
        <v>17111.22734613637</v>
      </c>
      <c r="I164" s="219">
        <f t="shared" si="19"/>
        <v>8555.613673068185</v>
      </c>
      <c r="J164" s="226">
        <v>38355.601394238045</v>
      </c>
      <c r="K164" s="219">
        <f t="shared" si="20"/>
        <v>19177.800697119023</v>
      </c>
      <c r="L164" s="197">
        <f t="shared" si="21"/>
        <v>68097.03620379673</v>
      </c>
      <c r="M164" s="200"/>
      <c r="N164" s="200"/>
      <c r="O164" s="200"/>
      <c r="P164" s="200"/>
    </row>
    <row r="165" spans="1:16" s="142" customFormat="1" ht="11.25">
      <c r="A165" s="123"/>
      <c r="B165" s="306"/>
      <c r="C165" s="102" t="s">
        <v>365</v>
      </c>
      <c r="D165" s="11">
        <v>426919</v>
      </c>
      <c r="E165" s="122" t="s">
        <v>480</v>
      </c>
      <c r="F165" s="140">
        <f>+F166+F167+F168+F169+F170+F171</f>
        <v>725338.5437872587</v>
      </c>
      <c r="G165" s="216">
        <f t="shared" si="18"/>
        <v>362669.27189362934</v>
      </c>
      <c r="H165" s="140">
        <f>+H166+H167+H168+H169+H170+H171</f>
        <v>249801.6461852526</v>
      </c>
      <c r="I165" s="219">
        <f t="shared" si="19"/>
        <v>124900.8230926263</v>
      </c>
      <c r="J165" s="141">
        <f>+J166+J167+J168+J169+J170+J171</f>
        <v>246167.9213764415</v>
      </c>
      <c r="K165" s="219">
        <f t="shared" si="20"/>
        <v>123083.96068822074</v>
      </c>
      <c r="L165" s="199">
        <f t="shared" si="21"/>
        <v>1221308.1113489526</v>
      </c>
      <c r="M165" s="200"/>
      <c r="N165" s="200"/>
      <c r="O165" s="200"/>
      <c r="P165" s="200"/>
    </row>
    <row r="166" spans="1:16" s="142" customFormat="1" ht="11.25">
      <c r="A166" s="123"/>
      <c r="B166" s="306"/>
      <c r="C166" s="103" t="s">
        <v>366</v>
      </c>
      <c r="D166" s="8">
        <v>4269191</v>
      </c>
      <c r="E166" s="19" t="s">
        <v>367</v>
      </c>
      <c r="F166" s="222">
        <v>115203.42764314021</v>
      </c>
      <c r="G166" s="216">
        <f t="shared" si="18"/>
        <v>57601.713821570105</v>
      </c>
      <c r="H166" s="222">
        <v>76455.17731221546</v>
      </c>
      <c r="I166" s="219">
        <f t="shared" si="19"/>
        <v>38227.58865610773</v>
      </c>
      <c r="J166" s="226">
        <v>28616.30042957924</v>
      </c>
      <c r="K166" s="219">
        <f t="shared" si="20"/>
        <v>14308.15021478962</v>
      </c>
      <c r="L166" s="197">
        <f t="shared" si="21"/>
        <v>220274.90538493491</v>
      </c>
      <c r="M166" s="200"/>
      <c r="N166" s="200"/>
      <c r="O166" s="200"/>
      <c r="P166" s="200"/>
    </row>
    <row r="167" spans="1:16" s="142" customFormat="1" ht="11.25">
      <c r="A167" s="123"/>
      <c r="B167" s="306"/>
      <c r="C167" s="103" t="s">
        <v>368</v>
      </c>
      <c r="D167" s="8">
        <v>4269193</v>
      </c>
      <c r="E167" s="19" t="s">
        <v>369</v>
      </c>
      <c r="F167" s="222">
        <v>359751.3851316725</v>
      </c>
      <c r="G167" s="216">
        <f t="shared" si="18"/>
        <v>179875.69256583625</v>
      </c>
      <c r="H167" s="222">
        <v>50644.82425474822</v>
      </c>
      <c r="I167" s="219">
        <f t="shared" si="19"/>
        <v>25322.41212737411</v>
      </c>
      <c r="J167" s="226">
        <v>68209.54964179467</v>
      </c>
      <c r="K167" s="219">
        <f t="shared" si="20"/>
        <v>34104.774820897335</v>
      </c>
      <c r="L167" s="197">
        <f t="shared" si="21"/>
        <v>478605.7590282154</v>
      </c>
      <c r="M167" s="200"/>
      <c r="N167" s="200"/>
      <c r="O167" s="200"/>
      <c r="P167" s="200"/>
    </row>
    <row r="168" spans="1:16" s="142" customFormat="1" ht="11.25">
      <c r="A168" s="123"/>
      <c r="B168" s="306"/>
      <c r="C168" s="103" t="s">
        <v>370</v>
      </c>
      <c r="D168" s="8">
        <v>4269194</v>
      </c>
      <c r="E168" s="19" t="s">
        <v>371</v>
      </c>
      <c r="F168" s="222">
        <v>108239.07545032866</v>
      </c>
      <c r="G168" s="216">
        <f t="shared" si="18"/>
        <v>54119.53772516433</v>
      </c>
      <c r="H168" s="222">
        <v>65938.61514832596</v>
      </c>
      <c r="I168" s="219">
        <f t="shared" si="19"/>
        <v>32969.30757416298</v>
      </c>
      <c r="J168" s="226">
        <v>109692.56537385313</v>
      </c>
      <c r="K168" s="219">
        <f t="shared" si="20"/>
        <v>54846.28268692656</v>
      </c>
      <c r="L168" s="197">
        <f t="shared" si="21"/>
        <v>283870.25597250776</v>
      </c>
      <c r="M168" s="200"/>
      <c r="N168" s="200"/>
      <c r="O168" s="200"/>
      <c r="P168" s="200"/>
    </row>
    <row r="169" spans="1:16" s="142" customFormat="1" ht="11.25">
      <c r="A169" s="123"/>
      <c r="B169" s="306"/>
      <c r="C169" s="103" t="s">
        <v>372</v>
      </c>
      <c r="D169" s="8">
        <v>4269195</v>
      </c>
      <c r="E169" s="19" t="s">
        <v>373</v>
      </c>
      <c r="F169" s="222">
        <v>53254.44715851687</v>
      </c>
      <c r="G169" s="216">
        <f t="shared" si="18"/>
        <v>26627.223579258436</v>
      </c>
      <c r="H169" s="222">
        <v>12314.48097924441</v>
      </c>
      <c r="I169" s="219">
        <f t="shared" si="19"/>
        <v>6157.240489622205</v>
      </c>
      <c r="J169" s="226">
        <v>5440.828394614885</v>
      </c>
      <c r="K169" s="219">
        <f t="shared" si="20"/>
        <v>2720.4141973074425</v>
      </c>
      <c r="L169" s="197">
        <f t="shared" si="21"/>
        <v>71009.75653237617</v>
      </c>
      <c r="M169" s="200"/>
      <c r="N169" s="200"/>
      <c r="O169" s="200"/>
      <c r="P169" s="200"/>
    </row>
    <row r="170" spans="1:16" s="142" customFormat="1" ht="11.25">
      <c r="A170" s="123"/>
      <c r="B170" s="306"/>
      <c r="C170" s="103" t="s">
        <v>374</v>
      </c>
      <c r="D170" s="8">
        <v>4269196</v>
      </c>
      <c r="E170" s="19" t="s">
        <v>375</v>
      </c>
      <c r="F170" s="222">
        <v>81156.631685701</v>
      </c>
      <c r="G170" s="216">
        <f t="shared" si="18"/>
        <v>40578.3158428505</v>
      </c>
      <c r="H170" s="222">
        <v>33594.44601283523</v>
      </c>
      <c r="I170" s="219">
        <f t="shared" si="19"/>
        <v>16797.223006417615</v>
      </c>
      <c r="J170" s="226">
        <v>21843.680319886644</v>
      </c>
      <c r="K170" s="219">
        <f t="shared" si="20"/>
        <v>10921.840159943322</v>
      </c>
      <c r="L170" s="197">
        <f t="shared" si="21"/>
        <v>136594.75801842287</v>
      </c>
      <c r="M170" s="200"/>
      <c r="N170" s="200"/>
      <c r="O170" s="200"/>
      <c r="P170" s="200"/>
    </row>
    <row r="171" spans="1:16" s="142" customFormat="1" ht="11.25">
      <c r="A171" s="123"/>
      <c r="B171" s="306"/>
      <c r="C171" s="103" t="s">
        <v>376</v>
      </c>
      <c r="D171" s="8">
        <v>4269197</v>
      </c>
      <c r="E171" s="19" t="s">
        <v>377</v>
      </c>
      <c r="F171" s="222">
        <v>7733.576717899529</v>
      </c>
      <c r="G171" s="216">
        <f t="shared" si="18"/>
        <v>3866.7883589497646</v>
      </c>
      <c r="H171" s="222">
        <v>10854.102477883334</v>
      </c>
      <c r="I171" s="219">
        <f t="shared" si="19"/>
        <v>5427.051238941667</v>
      </c>
      <c r="J171" s="226">
        <v>12364.997216712874</v>
      </c>
      <c r="K171" s="219">
        <f t="shared" si="20"/>
        <v>6182.498608356437</v>
      </c>
      <c r="L171" s="197">
        <f t="shared" si="21"/>
        <v>30952.67641249574</v>
      </c>
      <c r="M171" s="200"/>
      <c r="N171" s="200"/>
      <c r="O171" s="200"/>
      <c r="P171" s="200"/>
    </row>
    <row r="172" spans="1:16" s="142" customFormat="1" ht="12" customHeight="1">
      <c r="A172" s="123"/>
      <c r="B172" s="160">
        <v>440000</v>
      </c>
      <c r="C172" s="243"/>
      <c r="D172" s="304" t="s">
        <v>381</v>
      </c>
      <c r="E172" s="304"/>
      <c r="F172" s="244">
        <f>+F173</f>
        <v>40453.17334548544</v>
      </c>
      <c r="G172" s="206">
        <f t="shared" si="18"/>
        <v>20226.58667274272</v>
      </c>
      <c r="H172" s="244">
        <f>+H173</f>
        <v>57426.62913488963</v>
      </c>
      <c r="I172" s="213">
        <f t="shared" si="19"/>
        <v>28713.314567444813</v>
      </c>
      <c r="J172" s="245">
        <f>+J173</f>
        <v>336326.7761982841</v>
      </c>
      <c r="K172" s="96">
        <f t="shared" si="20"/>
        <v>168163.38809914206</v>
      </c>
      <c r="L172" s="207">
        <f t="shared" si="21"/>
        <v>434206.57867865916</v>
      </c>
      <c r="M172" s="214"/>
      <c r="N172" s="214"/>
      <c r="O172" s="214"/>
      <c r="P172" s="214"/>
    </row>
    <row r="173" spans="1:16" s="142" customFormat="1" ht="11.25">
      <c r="A173" s="123"/>
      <c r="B173" s="155"/>
      <c r="C173" s="167"/>
      <c r="D173" s="8">
        <v>444211</v>
      </c>
      <c r="E173" s="19" t="s">
        <v>383</v>
      </c>
      <c r="F173" s="222">
        <v>40453.17334548544</v>
      </c>
      <c r="G173" s="216">
        <f t="shared" si="18"/>
        <v>20226.58667274272</v>
      </c>
      <c r="H173" s="222">
        <v>57426.62913488963</v>
      </c>
      <c r="I173" s="219">
        <f t="shared" si="19"/>
        <v>28713.314567444813</v>
      </c>
      <c r="J173" s="226">
        <v>336326.7761982841</v>
      </c>
      <c r="K173" s="219">
        <f t="shared" si="20"/>
        <v>168163.38809914206</v>
      </c>
      <c r="L173" s="197">
        <f t="shared" si="21"/>
        <v>434206.57867865916</v>
      </c>
      <c r="M173" s="200"/>
      <c r="N173" s="200"/>
      <c r="O173" s="200"/>
      <c r="P173" s="200"/>
    </row>
    <row r="174" spans="1:16" s="142" customFormat="1" ht="12" customHeight="1">
      <c r="A174" s="159" t="s">
        <v>37</v>
      </c>
      <c r="B174" s="160">
        <v>482000</v>
      </c>
      <c r="C174" s="243"/>
      <c r="D174" s="304" t="s">
        <v>388</v>
      </c>
      <c r="E174" s="304"/>
      <c r="F174" s="244">
        <f>+F175+F176+F177</f>
        <v>16821.907076998796</v>
      </c>
      <c r="G174" s="206">
        <f t="shared" si="18"/>
        <v>8410.953538499398</v>
      </c>
      <c r="H174" s="244">
        <f>+H175+H176+H177</f>
        <v>23742.631610178483</v>
      </c>
      <c r="I174" s="213">
        <f t="shared" si="19"/>
        <v>11871.315805089242</v>
      </c>
      <c r="J174" s="245">
        <f>+J175+J176+J177</f>
        <v>41331.467019653064</v>
      </c>
      <c r="K174" s="96">
        <f t="shared" si="20"/>
        <v>20665.733509826532</v>
      </c>
      <c r="L174" s="207">
        <f t="shared" si="21"/>
        <v>81896.00570683034</v>
      </c>
      <c r="M174" s="214"/>
      <c r="N174" s="214"/>
      <c r="O174" s="214"/>
      <c r="P174" s="214"/>
    </row>
    <row r="175" spans="1:16" s="142" customFormat="1" ht="11.25">
      <c r="A175" s="54">
        <v>1</v>
      </c>
      <c r="B175" s="102"/>
      <c r="C175" s="103" t="s">
        <v>382</v>
      </c>
      <c r="D175" s="8">
        <v>482131</v>
      </c>
      <c r="E175" s="19" t="s">
        <v>390</v>
      </c>
      <c r="F175" s="230">
        <v>16821.907076998796</v>
      </c>
      <c r="G175" s="216">
        <f t="shared" si="18"/>
        <v>8410.953538499398</v>
      </c>
      <c r="H175" s="230">
        <v>23742.631610178483</v>
      </c>
      <c r="I175" s="219">
        <f t="shared" si="19"/>
        <v>11871.315805089242</v>
      </c>
      <c r="J175" s="238">
        <v>41331.467019653064</v>
      </c>
      <c r="K175" s="219">
        <f t="shared" si="20"/>
        <v>20665.733509826532</v>
      </c>
      <c r="L175" s="197">
        <f t="shared" si="21"/>
        <v>81896.00570683034</v>
      </c>
      <c r="M175" s="200"/>
      <c r="N175" s="200"/>
      <c r="O175" s="200"/>
      <c r="P175" s="200"/>
    </row>
    <row r="176" spans="1:16" s="142" customFormat="1" ht="11.25">
      <c r="A176" s="54"/>
      <c r="B176" s="102"/>
      <c r="C176" s="103" t="s">
        <v>481</v>
      </c>
      <c r="D176" s="8">
        <v>482211</v>
      </c>
      <c r="E176" s="19" t="s">
        <v>392</v>
      </c>
      <c r="F176" s="246"/>
      <c r="G176" s="216">
        <f t="shared" si="18"/>
        <v>0</v>
      </c>
      <c r="H176" s="200"/>
      <c r="I176" s="219">
        <f t="shared" si="19"/>
        <v>0</v>
      </c>
      <c r="J176" s="247"/>
      <c r="K176" s="219">
        <f t="shared" si="20"/>
        <v>0</v>
      </c>
      <c r="L176" s="197">
        <f t="shared" si="21"/>
        <v>0</v>
      </c>
      <c r="M176" s="200"/>
      <c r="N176" s="200"/>
      <c r="O176" s="200"/>
      <c r="P176" s="200"/>
    </row>
    <row r="177" spans="1:16" ht="11.25">
      <c r="A177" s="54"/>
      <c r="B177" s="102"/>
      <c r="C177" s="103" t="s">
        <v>482</v>
      </c>
      <c r="D177" s="8">
        <v>482251</v>
      </c>
      <c r="E177" s="19" t="s">
        <v>394</v>
      </c>
      <c r="F177" s="230"/>
      <c r="G177" s="216">
        <f t="shared" si="18"/>
        <v>0</v>
      </c>
      <c r="H177" s="196"/>
      <c r="I177" s="219">
        <f t="shared" si="19"/>
        <v>0</v>
      </c>
      <c r="J177" s="247"/>
      <c r="K177" s="219">
        <f t="shared" si="20"/>
        <v>0</v>
      </c>
      <c r="L177" s="197">
        <f t="shared" si="21"/>
        <v>0</v>
      </c>
      <c r="M177" s="200"/>
      <c r="N177" s="196"/>
      <c r="O177" s="196"/>
      <c r="P177" s="196"/>
    </row>
    <row r="178" spans="1:16" ht="12" customHeight="1">
      <c r="A178" s="159" t="s">
        <v>483</v>
      </c>
      <c r="B178" s="160">
        <v>483000</v>
      </c>
      <c r="C178" s="243"/>
      <c r="D178" s="304" t="s">
        <v>401</v>
      </c>
      <c r="E178" s="304"/>
      <c r="F178" s="244">
        <f>+F179</f>
        <v>1075213</v>
      </c>
      <c r="G178" s="206">
        <f t="shared" si="18"/>
        <v>537606.5</v>
      </c>
      <c r="H178" s="244">
        <f>+H179</f>
        <v>0</v>
      </c>
      <c r="I178" s="213">
        <f t="shared" si="19"/>
        <v>0</v>
      </c>
      <c r="J178" s="245">
        <f>+J179</f>
        <v>362929</v>
      </c>
      <c r="K178" s="96">
        <f t="shared" si="20"/>
        <v>181464.5</v>
      </c>
      <c r="L178" s="207">
        <f t="shared" si="21"/>
        <v>1438142</v>
      </c>
      <c r="M178" s="214"/>
      <c r="N178" s="215"/>
      <c r="O178" s="215"/>
      <c r="P178" s="215"/>
    </row>
    <row r="179" spans="1:16" ht="12">
      <c r="A179" s="54"/>
      <c r="B179" s="102"/>
      <c r="C179" s="248"/>
      <c r="D179" s="8">
        <v>483111</v>
      </c>
      <c r="E179" s="19" t="s">
        <v>484</v>
      </c>
      <c r="F179" s="230">
        <f>1074712+500+1</f>
        <v>1075213</v>
      </c>
      <c r="G179" s="216">
        <f t="shared" si="18"/>
        <v>537606.5</v>
      </c>
      <c r="H179" s="196">
        <v>0</v>
      </c>
      <c r="I179" s="219">
        <f t="shared" si="19"/>
        <v>0</v>
      </c>
      <c r="J179" s="247">
        <f>362837+93-1</f>
        <v>362929</v>
      </c>
      <c r="K179" s="219">
        <f t="shared" si="20"/>
        <v>181464.5</v>
      </c>
      <c r="L179" s="197">
        <f t="shared" si="21"/>
        <v>1438142</v>
      </c>
      <c r="M179" s="200"/>
      <c r="N179" s="196"/>
      <c r="O179" s="196"/>
      <c r="P179" s="196"/>
    </row>
    <row r="180" spans="1:16" ht="12" customHeight="1">
      <c r="A180" s="94" t="s">
        <v>40</v>
      </c>
      <c r="B180" s="168" t="s">
        <v>406</v>
      </c>
      <c r="C180" s="249"/>
      <c r="D180" s="304" t="s">
        <v>408</v>
      </c>
      <c r="E180" s="304"/>
      <c r="F180" s="52"/>
      <c r="G180" s="206">
        <f t="shared" si="18"/>
        <v>0</v>
      </c>
      <c r="H180" s="215"/>
      <c r="I180" s="213">
        <f t="shared" si="19"/>
        <v>0</v>
      </c>
      <c r="J180" s="250"/>
      <c r="K180" s="213">
        <f t="shared" si="20"/>
        <v>0</v>
      </c>
      <c r="L180" s="251">
        <f t="shared" si="21"/>
        <v>0</v>
      </c>
      <c r="M180" s="214"/>
      <c r="N180" s="215"/>
      <c r="O180" s="215"/>
      <c r="P180" s="215"/>
    </row>
    <row r="181" spans="1:16" ht="12">
      <c r="A181" s="175">
        <v>1</v>
      </c>
      <c r="B181" s="176"/>
      <c r="C181" s="177"/>
      <c r="D181" s="252" t="s">
        <v>485</v>
      </c>
      <c r="E181" s="253"/>
      <c r="F181" s="55"/>
      <c r="G181" s="216">
        <f t="shared" si="18"/>
        <v>0</v>
      </c>
      <c r="H181" s="196"/>
      <c r="I181" s="219">
        <f t="shared" si="19"/>
        <v>0</v>
      </c>
      <c r="J181" s="210"/>
      <c r="K181" s="219">
        <f t="shared" si="20"/>
        <v>0</v>
      </c>
      <c r="L181" s="197">
        <f t="shared" si="21"/>
        <v>0</v>
      </c>
      <c r="M181" s="200"/>
      <c r="N181" s="196"/>
      <c r="O181" s="196"/>
      <c r="P181" s="196"/>
    </row>
    <row r="182" spans="1:16" ht="12.75" customHeight="1">
      <c r="A182" s="309" t="s">
        <v>434</v>
      </c>
      <c r="B182" s="309"/>
      <c r="C182" s="309"/>
      <c r="D182" s="309"/>
      <c r="E182" s="309"/>
      <c r="F182" s="132">
        <f>+F180+F178+F174+F172+F46+F31</f>
        <v>453524913.1439205</v>
      </c>
      <c r="G182" s="216">
        <f t="shared" si="18"/>
        <v>226762456.57196024</v>
      </c>
      <c r="H182" s="132">
        <f>+H180+H178+H174+H172+H46+H31</f>
        <v>153662846.62787443</v>
      </c>
      <c r="I182" s="219">
        <f t="shared" si="19"/>
        <v>76831423.31393722</v>
      </c>
      <c r="J182" s="133">
        <f>+J180+J178+J174+J172+J46+J31</f>
        <v>216926080.5784614</v>
      </c>
      <c r="K182" s="219">
        <f t="shared" si="20"/>
        <v>108463040.2892307</v>
      </c>
      <c r="L182" s="199">
        <f t="shared" si="21"/>
        <v>824113840.3502563</v>
      </c>
      <c r="M182" s="200"/>
      <c r="N182" s="196"/>
      <c r="O182" s="196"/>
      <c r="P182" s="196"/>
    </row>
    <row r="183" spans="1:11" ht="12">
      <c r="A183" s="186"/>
      <c r="B183" s="187"/>
      <c r="C183" s="187"/>
      <c r="D183" s="4"/>
      <c r="E183" s="4"/>
      <c r="F183" s="254"/>
      <c r="G183" s="254"/>
      <c r="H183" s="254"/>
      <c r="I183" s="254"/>
      <c r="J183" s="254"/>
      <c r="K183" s="254"/>
    </row>
    <row r="184" spans="1:9" ht="11.25">
      <c r="A184" s="186"/>
      <c r="B184" s="187"/>
      <c r="C184" s="187"/>
      <c r="D184" s="4"/>
      <c r="E184" s="4"/>
      <c r="F184" s="254"/>
      <c r="G184" s="254"/>
      <c r="H184" s="254"/>
      <c r="I184" s="254"/>
    </row>
    <row r="185" spans="1:13" ht="11.25">
      <c r="A185" s="186"/>
      <c r="B185" s="187"/>
      <c r="C185" s="187"/>
      <c r="D185" s="4"/>
      <c r="E185" s="4"/>
      <c r="F185" s="254" t="s">
        <v>486</v>
      </c>
      <c r="G185" s="254"/>
      <c r="H185" s="254" t="s">
        <v>487</v>
      </c>
      <c r="I185" s="254"/>
      <c r="J185" s="254" t="s">
        <v>488</v>
      </c>
      <c r="K185" s="254"/>
      <c r="L185" s="193" t="s">
        <v>489</v>
      </c>
      <c r="M185" s="142" t="s">
        <v>490</v>
      </c>
    </row>
    <row r="186" ht="5.25" customHeight="1">
      <c r="E186" s="4"/>
    </row>
    <row r="187" spans="5:14" ht="12.75">
      <c r="E187" s="189" t="s">
        <v>436</v>
      </c>
      <c r="F187" s="192">
        <f>F32</f>
        <v>361517231</v>
      </c>
      <c r="G187" s="192">
        <f aca="true" t="shared" si="22" ref="G187:G195">+F187/2</f>
        <v>180758615.5</v>
      </c>
      <c r="H187" s="192">
        <f>H32</f>
        <v>121627209.12</v>
      </c>
      <c r="I187" s="192">
        <f aca="true" t="shared" si="23" ref="I187:I195">+H187/2</f>
        <v>60813604.56</v>
      </c>
      <c r="J187" s="192">
        <f>J32</f>
        <v>163808560.36800003</v>
      </c>
      <c r="K187" s="192">
        <f aca="true" t="shared" si="24" ref="K187:K195">+J187/2</f>
        <v>81904280.18400002</v>
      </c>
      <c r="L187" s="193">
        <f aca="true" t="shared" si="25" ref="L187:L194">+F187+H187+J187</f>
        <v>646953000.488</v>
      </c>
      <c r="M187" s="142">
        <v>646953000</v>
      </c>
      <c r="N187" s="142"/>
    </row>
    <row r="188" spans="5:14" ht="12.75">
      <c r="E188" s="189" t="s">
        <v>437</v>
      </c>
      <c r="F188" s="192">
        <f>+F36+F43</f>
        <v>7854049</v>
      </c>
      <c r="G188" s="192">
        <f t="shared" si="22"/>
        <v>3927024.5</v>
      </c>
      <c r="H188" s="192">
        <f>+H36+H43</f>
        <v>6277394</v>
      </c>
      <c r="I188" s="192">
        <f t="shared" si="23"/>
        <v>3138697</v>
      </c>
      <c r="J188" s="192">
        <f>+J36+J43</f>
        <v>1250557</v>
      </c>
      <c r="K188" s="192">
        <f t="shared" si="24"/>
        <v>625278.5</v>
      </c>
      <c r="L188" s="193">
        <f t="shared" si="25"/>
        <v>15382000</v>
      </c>
      <c r="M188" s="142">
        <v>15382000</v>
      </c>
      <c r="N188" s="142"/>
    </row>
    <row r="189" spans="5:14" ht="12.75">
      <c r="E189" s="189" t="s">
        <v>438</v>
      </c>
      <c r="F189" s="192">
        <f>+F147+F148</f>
        <v>14454384</v>
      </c>
      <c r="G189" s="192">
        <f t="shared" si="22"/>
        <v>7227192</v>
      </c>
      <c r="H189" s="192">
        <f>+H147+H148</f>
        <v>3780705</v>
      </c>
      <c r="I189" s="192">
        <f t="shared" si="23"/>
        <v>1890352.5</v>
      </c>
      <c r="J189" s="192">
        <f>+J147+J148</f>
        <v>6217340</v>
      </c>
      <c r="K189" s="192">
        <f t="shared" si="24"/>
        <v>3108670</v>
      </c>
      <c r="L189" s="193">
        <f t="shared" si="25"/>
        <v>24452429</v>
      </c>
      <c r="M189" s="315">
        <v>33108000</v>
      </c>
      <c r="N189" s="142"/>
    </row>
    <row r="190" spans="5:14" ht="12.75">
      <c r="E190" s="189" t="s">
        <v>439</v>
      </c>
      <c r="F190" s="192">
        <f>+F149</f>
        <v>6163007</v>
      </c>
      <c r="G190" s="192">
        <f t="shared" si="22"/>
        <v>3081503.5</v>
      </c>
      <c r="H190" s="192">
        <f>+H149</f>
        <v>0</v>
      </c>
      <c r="I190" s="192">
        <f t="shared" si="23"/>
        <v>0</v>
      </c>
      <c r="J190" s="192">
        <f>+J149</f>
        <v>2492564</v>
      </c>
      <c r="K190" s="192">
        <f t="shared" si="24"/>
        <v>1246282</v>
      </c>
      <c r="L190" s="193">
        <f t="shared" si="25"/>
        <v>8655571</v>
      </c>
      <c r="M190" s="315"/>
      <c r="N190" s="142"/>
    </row>
    <row r="191" spans="5:14" ht="12.75">
      <c r="E191" s="189" t="s">
        <v>440</v>
      </c>
      <c r="F191" s="192">
        <f>+F141+F143+F144+F145+F151</f>
        <v>15699298</v>
      </c>
      <c r="G191" s="192">
        <f t="shared" si="22"/>
        <v>7849649</v>
      </c>
      <c r="H191" s="192">
        <f>+H141+H143+H144+H145+H151</f>
        <v>3363483.1818605457</v>
      </c>
      <c r="I191" s="192">
        <f t="shared" si="23"/>
        <v>1681741.5909302728</v>
      </c>
      <c r="J191" s="192">
        <f>+J141+J143+J144+J145+J151+J142</f>
        <v>9804219.174590627</v>
      </c>
      <c r="K191" s="192">
        <f t="shared" si="24"/>
        <v>4902109.587295313</v>
      </c>
      <c r="L191" s="193">
        <f t="shared" si="25"/>
        <v>28867000.35645117</v>
      </c>
      <c r="M191" s="142">
        <v>28867000</v>
      </c>
      <c r="N191" s="142"/>
    </row>
    <row r="192" spans="5:14" ht="12.75">
      <c r="E192" s="189" t="s">
        <v>441</v>
      </c>
      <c r="F192" s="192">
        <f>+F155+F156</f>
        <v>0</v>
      </c>
      <c r="G192" s="192">
        <f t="shared" si="22"/>
        <v>0</v>
      </c>
      <c r="H192" s="192">
        <f>+H155+H156</f>
        <v>299192</v>
      </c>
      <c r="I192" s="192">
        <f t="shared" si="23"/>
        <v>149596</v>
      </c>
      <c r="J192" s="192">
        <f>+J155+J156</f>
        <v>310648</v>
      </c>
      <c r="K192" s="192">
        <f t="shared" si="24"/>
        <v>155324</v>
      </c>
      <c r="L192" s="193">
        <f t="shared" si="25"/>
        <v>609840</v>
      </c>
      <c r="M192" s="142">
        <v>609840</v>
      </c>
      <c r="N192" s="142"/>
    </row>
    <row r="193" spans="5:14" ht="12.75">
      <c r="E193" s="189" t="s">
        <v>442</v>
      </c>
      <c r="F193" s="192">
        <f>+F51+F133+F134+F135+F136</f>
        <v>21925935.22089279</v>
      </c>
      <c r="G193" s="192">
        <f t="shared" si="22"/>
        <v>10962967.610446395</v>
      </c>
      <c r="H193" s="192">
        <f>+H51+H133+H134+H135+H136</f>
        <v>9986637.217383243</v>
      </c>
      <c r="I193" s="192">
        <f t="shared" si="23"/>
        <v>4993318.608691622</v>
      </c>
      <c r="J193" s="192">
        <f>+J51+J133+J134+J135+J136</f>
        <v>22587427.561723966</v>
      </c>
      <c r="K193" s="192">
        <f t="shared" si="24"/>
        <v>11293713.780861983</v>
      </c>
      <c r="L193" s="193">
        <f t="shared" si="25"/>
        <v>54500000</v>
      </c>
      <c r="M193" s="142">
        <v>54500000</v>
      </c>
      <c r="N193" s="142"/>
    </row>
    <row r="194" spans="5:14" ht="12.75">
      <c r="E194" s="189" t="s">
        <v>443</v>
      </c>
      <c r="F194" s="192">
        <f>+F49+F57+F61+F65+F69+F71+F78+F93+F96+F126+F137+F138+F153+F157+F158+F160+F174+F131+F172+F44+F37+F159+F178</f>
        <v>25911008.923027664</v>
      </c>
      <c r="G194" s="192">
        <f t="shared" si="22"/>
        <v>12955504.461513832</v>
      </c>
      <c r="H194" s="192">
        <f>+H49+H57+H61+H65+H69+H71+H78+H93+H96+H126+H137+H138+H153+H157+H158+H160+H174+H131+H172+H44+H37+H159</f>
        <v>8328226.108630658</v>
      </c>
      <c r="I194" s="192">
        <f t="shared" si="23"/>
        <v>4164113.054315329</v>
      </c>
      <c r="J194" s="192">
        <f>+J49+J57+J61+J65+J69+J71+J78+J93+J96+J126+J137+J138+J153+J157+J158+J160+J174+J131+J172+J44+J37+J159+J178</f>
        <v>10454764.474146772</v>
      </c>
      <c r="K194" s="192">
        <f t="shared" si="24"/>
        <v>5227382.237073386</v>
      </c>
      <c r="L194" s="193">
        <f t="shared" si="25"/>
        <v>44693999.50580509</v>
      </c>
      <c r="M194" s="142">
        <v>44694000</v>
      </c>
      <c r="N194" s="142"/>
    </row>
    <row r="195" spans="4:14" ht="12.75">
      <c r="D195" s="191"/>
      <c r="E195" s="192"/>
      <c r="F195" s="192">
        <f>+F187+F188+F189+F191+F193+F194+F190+F192</f>
        <v>453524913.1439204</v>
      </c>
      <c r="G195" s="192">
        <f t="shared" si="22"/>
        <v>226762456.5719602</v>
      </c>
      <c r="H195" s="192">
        <f>+H187+H188+H189+H191+H193+H194+H190+H192</f>
        <v>153662846.62787443</v>
      </c>
      <c r="I195" s="192">
        <f t="shared" si="23"/>
        <v>76831423.31393722</v>
      </c>
      <c r="J195" s="192">
        <f>+J187+J188+J189+J191+J193+J194+J190+J192</f>
        <v>216926080.5784614</v>
      </c>
      <c r="K195" s="192">
        <f t="shared" si="24"/>
        <v>108463040.2892307</v>
      </c>
      <c r="L195" s="255">
        <f>+L187+L188+L189+L191+L193+L194+L190+L192</f>
        <v>824113840.3502563</v>
      </c>
      <c r="M195" s="142">
        <f>SUM(M187:M194)</f>
        <v>824113840</v>
      </c>
      <c r="N195" s="142"/>
    </row>
    <row r="196" spans="5:12" ht="25.5" customHeight="1">
      <c r="E196" s="4"/>
      <c r="F196" s="142"/>
      <c r="G196" s="142">
        <f>+G194+I194+K194</f>
        <v>22346999.752902545</v>
      </c>
      <c r="H196" s="142">
        <f>15001007+5792195+3877997</f>
        <v>24671199</v>
      </c>
      <c r="I196" s="142"/>
      <c r="J196" s="142"/>
      <c r="K196" s="142"/>
      <c r="L196" s="142"/>
    </row>
    <row r="197" spans="6:13" ht="18" customHeight="1">
      <c r="F197" s="2"/>
      <c r="G197" s="2"/>
      <c r="H197" s="2"/>
      <c r="I197" s="2"/>
      <c r="J197" s="2"/>
      <c r="K197" s="2"/>
      <c r="M197" s="256"/>
    </row>
    <row r="198" spans="6:12" ht="11.25">
      <c r="F198" s="142">
        <f aca="true" t="shared" si="26" ref="F198:F208">+F187/2</f>
        <v>180758615.5</v>
      </c>
      <c r="G198" s="142"/>
      <c r="L198" s="257"/>
    </row>
    <row r="199" spans="6:11" ht="11.25">
      <c r="F199" s="142">
        <f t="shared" si="26"/>
        <v>3927024.5</v>
      </c>
      <c r="G199" s="142"/>
      <c r="H199" s="142"/>
      <c r="I199" s="142"/>
      <c r="J199" s="142"/>
      <c r="K199" s="142"/>
    </row>
    <row r="200" spans="6:11" ht="11.25">
      <c r="F200" s="142">
        <f t="shared" si="26"/>
        <v>7227192</v>
      </c>
      <c r="G200" s="142"/>
      <c r="H200" s="142"/>
      <c r="I200" s="142"/>
      <c r="J200" s="142"/>
      <c r="K200" s="142"/>
    </row>
    <row r="201" spans="6:11" ht="11.25">
      <c r="F201" s="142">
        <f t="shared" si="26"/>
        <v>3081503.5</v>
      </c>
      <c r="G201" s="142"/>
      <c r="H201" s="256"/>
      <c r="I201" s="256"/>
      <c r="J201" s="256"/>
      <c r="K201" s="256"/>
    </row>
    <row r="202" spans="6:7" ht="11.25">
      <c r="F202" s="142">
        <f t="shared" si="26"/>
        <v>7849649</v>
      </c>
      <c r="G202" s="142"/>
    </row>
    <row r="203" spans="6:7" ht="11.25">
      <c r="F203" s="142">
        <f t="shared" si="26"/>
        <v>0</v>
      </c>
      <c r="G203" s="142"/>
    </row>
    <row r="204" spans="6:7" ht="11.25">
      <c r="F204" s="142">
        <f t="shared" si="26"/>
        <v>10962967.610446395</v>
      </c>
      <c r="G204" s="142"/>
    </row>
    <row r="205" spans="6:7" ht="11.25">
      <c r="F205" s="142">
        <f t="shared" si="26"/>
        <v>12955504.461513832</v>
      </c>
      <c r="G205" s="142"/>
    </row>
    <row r="206" spans="6:7" ht="11.25">
      <c r="F206" s="142">
        <f t="shared" si="26"/>
        <v>226762456.5719602</v>
      </c>
      <c r="G206" s="142"/>
    </row>
    <row r="207" spans="6:7" ht="11.25">
      <c r="F207" s="142">
        <f t="shared" si="26"/>
        <v>0</v>
      </c>
      <c r="G207" s="142"/>
    </row>
    <row r="208" spans="6:7" ht="11.25">
      <c r="F208" s="142">
        <f t="shared" si="26"/>
        <v>0</v>
      </c>
      <c r="G208" s="142"/>
    </row>
    <row r="209" spans="6:7" ht="11.25">
      <c r="F209" s="142"/>
      <c r="G209" s="142"/>
    </row>
  </sheetData>
  <sheetProtection selectLockedCells="1" selectUnlockedCells="1"/>
  <mergeCells count="86">
    <mergeCell ref="D180:E180"/>
    <mergeCell ref="A182:E182"/>
    <mergeCell ref="M189:M190"/>
    <mergeCell ref="B147:B148"/>
    <mergeCell ref="B153:B159"/>
    <mergeCell ref="B161:B171"/>
    <mergeCell ref="D172:E172"/>
    <mergeCell ref="D174:E174"/>
    <mergeCell ref="D178:E178"/>
    <mergeCell ref="B110:B113"/>
    <mergeCell ref="B115:B121"/>
    <mergeCell ref="D125:E125"/>
    <mergeCell ref="B127:B130"/>
    <mergeCell ref="B133:B138"/>
    <mergeCell ref="B141:B144"/>
    <mergeCell ref="B84:B85"/>
    <mergeCell ref="B87:B88"/>
    <mergeCell ref="D92:E92"/>
    <mergeCell ref="B94:B95"/>
    <mergeCell ref="D96:E96"/>
    <mergeCell ref="B98:B107"/>
    <mergeCell ref="B62:B64"/>
    <mergeCell ref="B66:B68"/>
    <mergeCell ref="D71:E71"/>
    <mergeCell ref="B73:B76"/>
    <mergeCell ref="D78:E78"/>
    <mergeCell ref="B81:B82"/>
    <mergeCell ref="D44:E44"/>
    <mergeCell ref="D46:E46"/>
    <mergeCell ref="D47:E47"/>
    <mergeCell ref="B49:B50"/>
    <mergeCell ref="B52:B55"/>
    <mergeCell ref="B58:B60"/>
    <mergeCell ref="A33:A34"/>
    <mergeCell ref="B33:B34"/>
    <mergeCell ref="D35:E35"/>
    <mergeCell ref="D37:E37"/>
    <mergeCell ref="D41:E41"/>
    <mergeCell ref="A42:A43"/>
    <mergeCell ref="B42:B43"/>
    <mergeCell ref="Q27:Q28"/>
    <mergeCell ref="R27:R28"/>
    <mergeCell ref="S27:S28"/>
    <mergeCell ref="A30:E30"/>
    <mergeCell ref="D31:E31"/>
    <mergeCell ref="D32:E32"/>
    <mergeCell ref="F26:J26"/>
    <mergeCell ref="L26:L28"/>
    <mergeCell ref="M26:O26"/>
    <mergeCell ref="P26:P28"/>
    <mergeCell ref="F27:F28"/>
    <mergeCell ref="H27:H28"/>
    <mergeCell ref="J27:J28"/>
    <mergeCell ref="M27:M28"/>
    <mergeCell ref="N27:N28"/>
    <mergeCell ref="O27:O28"/>
    <mergeCell ref="D18:E18"/>
    <mergeCell ref="D21:E21"/>
    <mergeCell ref="D22:E22"/>
    <mergeCell ref="A23:E23"/>
    <mergeCell ref="A26:A28"/>
    <mergeCell ref="B26:B28"/>
    <mergeCell ref="C26:C28"/>
    <mergeCell ref="D26:D28"/>
    <mergeCell ref="E26:E28"/>
    <mergeCell ref="D11:E11"/>
    <mergeCell ref="D13:E13"/>
    <mergeCell ref="A14:A15"/>
    <mergeCell ref="B14:B15"/>
    <mergeCell ref="C14:C15"/>
    <mergeCell ref="D16:E16"/>
    <mergeCell ref="L7:L9"/>
    <mergeCell ref="M7:O7"/>
    <mergeCell ref="P7:P9"/>
    <mergeCell ref="F8:F9"/>
    <mergeCell ref="H8:H9"/>
    <mergeCell ref="J8:J9"/>
    <mergeCell ref="M8:M9"/>
    <mergeCell ref="N8:N9"/>
    <mergeCell ref="O8:O9"/>
    <mergeCell ref="A7:A9"/>
    <mergeCell ref="B7:B9"/>
    <mergeCell ref="C7:C9"/>
    <mergeCell ref="D7:D9"/>
    <mergeCell ref="E7:E9"/>
    <mergeCell ref="F7:J7"/>
  </mergeCells>
  <dataValidations count="5">
    <dataValidation type="whole" allowBlank="1" showErrorMessage="1" errorTitle="Upozorenje" error="Niste uneli korektnu vrednost!&#10;Ponovite unos." sqref="F21:G22 M21:M22 F149:F151 J149 F182 H182 J182">
      <formula1>0</formula1>
      <formula2>9999999999999</formula2>
    </dataValidation>
    <dataValidation allowBlank="1" showErrorMessage="1" errorTitle="Upozorenje" error="Niste uneli korektnu vrednost!&#10;Ponovite unos." sqref="G31:G182 I31:I182 K31:K182 H46:K46 J47:K47 F125:G125 H139:K139 J147:K147 H150:L150">
      <formula1>0</formula1>
      <formula2>0</formula2>
    </dataValidation>
    <dataValidation type="whole" allowBlank="1" showErrorMessage="1" errorTitle="Upozorenje" error="Niste uneli korektnu vrednost!&#10;Ponovite unos." sqref="F11:J11 M11:O11 F12:G13 M12:M13 F16:G16 M16 F18:G18 M18 F31:F32 H31:H32 J31:J32 F34:F41 H34:H41 J34:J41 F43:F47 H43:H45 J43:J45 H47 F49:F62 H49:H53 J49:J52 J55 H57:H69 J57:J69 F64:F124 H71:H78 J71:J138 H91:H138 F126:F148 H140:H148 J140:J146 J148 H151:H160 J151:J160 F152:F160 F165 H165 J165 F175 H175 J175 F177 F179:F181">
      <formula1>0</formula1>
      <formula2>999999999</formula2>
    </dataValidation>
    <dataValidation type="whole" allowBlank="1" showErrorMessage="1" errorTitle="Upozorenje" error="Niste uneli korektnu vrednost!&#10;Ponovite unos." sqref="F23:K23 M23:O23">
      <formula1>0</formula1>
      <formula2>99999999999999</formula2>
    </dataValidation>
    <dataValidation type="whole" allowBlank="1" showErrorMessage="1" errorTitle="Upozorenje" error="Niste uneli korektnu vrednost!&#10;Ponovite unos." sqref="F33 H33 J33 F161:F164 H161:H164 J161:J164 F166:F171 H166:H171 J166:J171 F173 H173 J173">
      <formula1>0</formula1>
      <formula2>999999999999</formula2>
    </dataValidation>
  </dataValidations>
  <printOptions/>
  <pageMargins left="0.25" right="0.2" top="0.5" bottom="0.5" header="0.5118055555555555" footer="0.5118055555555555"/>
  <pageSetup horizontalDpi="300" verticalDpi="300" orientation="landscape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4"/>
  <sheetViews>
    <sheetView zoomScale="80" zoomScaleNormal="80" zoomScalePageLayoutView="0" workbookViewId="0" topLeftCell="A180">
      <selection activeCell="F197" sqref="F197"/>
    </sheetView>
  </sheetViews>
  <sheetFormatPr defaultColWidth="9.140625" defaultRowHeight="15"/>
  <cols>
    <col min="1" max="1" width="3.28125" style="258" customWidth="1"/>
    <col min="2" max="2" width="8.421875" style="258" customWidth="1"/>
    <col min="3" max="4" width="9.140625" style="258" customWidth="1"/>
    <col min="5" max="5" width="55.8515625" style="258" customWidth="1"/>
    <col min="6" max="6" width="13.57421875" style="258" customWidth="1"/>
    <col min="7" max="7" width="12.7109375" style="258" customWidth="1"/>
    <col min="8" max="8" width="13.140625" style="258" customWidth="1"/>
    <col min="9" max="9" width="11.140625" style="259" customWidth="1"/>
    <col min="10" max="10" width="10.28125" style="259" customWidth="1"/>
    <col min="11" max="13" width="9.7109375" style="258" customWidth="1"/>
    <col min="14" max="16384" width="9.140625" style="258" customWidth="1"/>
  </cols>
  <sheetData>
    <row r="1" spans="1:5" ht="18" customHeight="1">
      <c r="A1" s="3" t="s">
        <v>491</v>
      </c>
      <c r="B1" s="4"/>
      <c r="C1" s="4"/>
      <c r="D1" s="4"/>
      <c r="E1" s="4"/>
    </row>
    <row r="2" spans="1:5" ht="12">
      <c r="A2" s="5"/>
      <c r="B2" s="4"/>
      <c r="C2" s="4"/>
      <c r="D2" s="4"/>
      <c r="E2" s="4"/>
    </row>
    <row r="3" spans="1:5" ht="8.25" customHeight="1">
      <c r="A3" s="4"/>
      <c r="B3" s="4"/>
      <c r="C3" s="4"/>
      <c r="D3" s="4"/>
      <c r="E3" s="4"/>
    </row>
    <row r="4" spans="1:5" ht="13.5">
      <c r="A4" s="4"/>
      <c r="B4" s="4"/>
      <c r="C4" s="4"/>
      <c r="D4" s="4"/>
      <c r="E4" s="6" t="s">
        <v>449</v>
      </c>
    </row>
    <row r="5" spans="1:5" ht="7.5" customHeight="1">
      <c r="A5" s="4"/>
      <c r="B5" s="4"/>
      <c r="C5" s="4"/>
      <c r="D5" s="4"/>
      <c r="E5" s="4"/>
    </row>
    <row r="6" spans="1:5" ht="12">
      <c r="A6" s="7" t="s">
        <v>2</v>
      </c>
      <c r="B6" s="4"/>
      <c r="C6" s="4"/>
      <c r="D6" s="4"/>
      <c r="E6" s="4"/>
    </row>
    <row r="7" spans="1:6" ht="12" customHeight="1">
      <c r="A7" s="283" t="s">
        <v>3</v>
      </c>
      <c r="B7" s="284" t="s">
        <v>4</v>
      </c>
      <c r="C7" s="283" t="s">
        <v>5</v>
      </c>
      <c r="D7" s="284" t="s">
        <v>6</v>
      </c>
      <c r="E7" s="284" t="s">
        <v>7</v>
      </c>
      <c r="F7" s="8"/>
    </row>
    <row r="8" spans="1:6" ht="12" customHeight="1">
      <c r="A8" s="283"/>
      <c r="B8" s="284"/>
      <c r="C8" s="283"/>
      <c r="D8" s="284"/>
      <c r="E8" s="284"/>
      <c r="F8" s="8"/>
    </row>
    <row r="9" spans="1:6" ht="12">
      <c r="A9" s="283"/>
      <c r="B9" s="284"/>
      <c r="C9" s="283"/>
      <c r="D9" s="284"/>
      <c r="E9" s="284"/>
      <c r="F9" s="8" t="s">
        <v>15</v>
      </c>
    </row>
    <row r="10" spans="1:6" ht="12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9">
        <v>8</v>
      </c>
    </row>
    <row r="11" spans="1:6" ht="12" customHeight="1">
      <c r="A11" s="10" t="s">
        <v>17</v>
      </c>
      <c r="B11" s="15" t="s">
        <v>456</v>
      </c>
      <c r="C11" s="15"/>
      <c r="D11" s="287" t="s">
        <v>20</v>
      </c>
      <c r="E11" s="287"/>
      <c r="F11" s="132">
        <f>+F13+F18</f>
        <v>0</v>
      </c>
    </row>
    <row r="12" spans="1:6" ht="30.75" customHeight="1">
      <c r="A12" s="10"/>
      <c r="B12" s="15"/>
      <c r="C12" s="18"/>
      <c r="D12" s="8">
        <v>741411</v>
      </c>
      <c r="E12" s="19" t="s">
        <v>21</v>
      </c>
      <c r="F12" s="132"/>
    </row>
    <row r="13" spans="1:6" ht="12" customHeight="1">
      <c r="A13" s="10">
        <v>1</v>
      </c>
      <c r="B13" s="11">
        <v>742000</v>
      </c>
      <c r="C13" s="20"/>
      <c r="D13" s="287" t="s">
        <v>22</v>
      </c>
      <c r="E13" s="287"/>
      <c r="F13" s="132">
        <f>+F14+F15</f>
        <v>0</v>
      </c>
    </row>
    <row r="14" spans="1:6" ht="19.5" customHeight="1">
      <c r="A14" s="288"/>
      <c r="B14" s="284"/>
      <c r="C14" s="284"/>
      <c r="D14" s="8">
        <v>742121</v>
      </c>
      <c r="E14" s="19" t="s">
        <v>24</v>
      </c>
      <c r="F14" s="198"/>
    </row>
    <row r="15" spans="1:6" ht="17.25" customHeight="1">
      <c r="A15" s="288"/>
      <c r="B15" s="284"/>
      <c r="C15" s="284"/>
      <c r="D15" s="22">
        <v>742122</v>
      </c>
      <c r="E15" s="19" t="s">
        <v>26</v>
      </c>
      <c r="F15" s="198"/>
    </row>
    <row r="16" spans="1:6" ht="15" customHeight="1">
      <c r="A16" s="23">
        <v>2</v>
      </c>
      <c r="B16" s="24">
        <v>744000</v>
      </c>
      <c r="C16" s="25"/>
      <c r="D16" s="286" t="s">
        <v>27</v>
      </c>
      <c r="E16" s="286"/>
      <c r="F16" s="198"/>
    </row>
    <row r="17" spans="1:6" ht="20.25" customHeight="1">
      <c r="A17" s="23"/>
      <c r="B17" s="26"/>
      <c r="C17" s="25"/>
      <c r="D17" s="8">
        <v>744121</v>
      </c>
      <c r="E17" s="19" t="s">
        <v>28</v>
      </c>
      <c r="F17" s="198"/>
    </row>
    <row r="18" spans="1:6" ht="12" customHeight="1">
      <c r="A18" s="10">
        <v>3</v>
      </c>
      <c r="B18" s="11">
        <v>745000</v>
      </c>
      <c r="C18" s="20"/>
      <c r="D18" s="287" t="s">
        <v>29</v>
      </c>
      <c r="E18" s="287"/>
      <c r="F18" s="132">
        <f>+F20+F19</f>
        <v>0</v>
      </c>
    </row>
    <row r="19" spans="1:6" ht="12">
      <c r="A19" s="10"/>
      <c r="B19" s="27"/>
      <c r="C19" s="28"/>
      <c r="D19" s="8">
        <v>745122</v>
      </c>
      <c r="E19" s="12" t="s">
        <v>30</v>
      </c>
      <c r="F19" s="132"/>
    </row>
    <row r="20" spans="1:6" ht="17.25" customHeight="1">
      <c r="A20" s="29"/>
      <c r="B20" s="26"/>
      <c r="C20" s="26"/>
      <c r="D20" s="8" t="s">
        <v>31</v>
      </c>
      <c r="E20" s="12" t="s">
        <v>32</v>
      </c>
      <c r="F20" s="198"/>
    </row>
    <row r="21" spans="1:6" ht="12.75" customHeight="1">
      <c r="A21" s="10" t="s">
        <v>33</v>
      </c>
      <c r="B21" s="40" t="s">
        <v>38</v>
      </c>
      <c r="C21" s="40"/>
      <c r="D21" s="287" t="s">
        <v>39</v>
      </c>
      <c r="E21" s="287"/>
      <c r="F21" s="260"/>
    </row>
    <row r="22" spans="1:6" ht="12" customHeight="1">
      <c r="A22" s="10" t="s">
        <v>37</v>
      </c>
      <c r="B22" s="11">
        <v>791111</v>
      </c>
      <c r="C22" s="20"/>
      <c r="D22" s="287" t="s">
        <v>41</v>
      </c>
      <c r="E22" s="287"/>
      <c r="F22" s="205"/>
    </row>
    <row r="23" spans="1:6" ht="12.75" customHeight="1">
      <c r="A23" s="290" t="s">
        <v>457</v>
      </c>
      <c r="B23" s="290"/>
      <c r="C23" s="290"/>
      <c r="D23" s="290"/>
      <c r="E23" s="290"/>
      <c r="F23" s="52">
        <f>+F11+F21+F22</f>
        <v>0</v>
      </c>
    </row>
    <row r="24" ht="6" customHeight="1"/>
    <row r="25" spans="1:8" ht="13.5">
      <c r="A25" s="48" t="s">
        <v>46</v>
      </c>
      <c r="B25" s="49"/>
      <c r="C25" s="49"/>
      <c r="D25" s="4"/>
      <c r="E25" s="4"/>
      <c r="F25" s="258" t="s">
        <v>486</v>
      </c>
      <c r="G25" s="258" t="s">
        <v>487</v>
      </c>
      <c r="H25" s="258" t="s">
        <v>488</v>
      </c>
    </row>
    <row r="26" spans="1:6" ht="12" customHeight="1">
      <c r="A26" s="291" t="s">
        <v>3</v>
      </c>
      <c r="B26" s="292" t="s">
        <v>47</v>
      </c>
      <c r="C26" s="293" t="s">
        <v>5</v>
      </c>
      <c r="D26" s="294" t="s">
        <v>6</v>
      </c>
      <c r="E26" s="284" t="s">
        <v>7</v>
      </c>
      <c r="F26" s="22"/>
    </row>
    <row r="27" spans="1:6" ht="12" customHeight="1">
      <c r="A27" s="291"/>
      <c r="B27" s="292"/>
      <c r="C27" s="293"/>
      <c r="D27" s="294"/>
      <c r="E27" s="284"/>
      <c r="F27" s="36"/>
    </row>
    <row r="28" spans="1:6" ht="12">
      <c r="A28" s="291"/>
      <c r="B28" s="292"/>
      <c r="C28" s="293"/>
      <c r="D28" s="294"/>
      <c r="E28" s="284"/>
      <c r="F28" s="8" t="s">
        <v>15</v>
      </c>
    </row>
    <row r="29" spans="1:6" ht="12">
      <c r="A29" s="9">
        <v>0</v>
      </c>
      <c r="B29" s="9">
        <v>1</v>
      </c>
      <c r="C29" s="9">
        <v>2</v>
      </c>
      <c r="D29" s="9">
        <v>3</v>
      </c>
      <c r="E29" s="9">
        <v>4</v>
      </c>
      <c r="F29" s="9">
        <v>8</v>
      </c>
    </row>
    <row r="30" spans="1:6" ht="12" customHeight="1">
      <c r="A30" s="296" t="s">
        <v>50</v>
      </c>
      <c r="B30" s="296"/>
      <c r="C30" s="296"/>
      <c r="D30" s="296"/>
      <c r="E30" s="296"/>
      <c r="F30" s="261"/>
    </row>
    <row r="31" spans="1:9" ht="12.75" customHeight="1">
      <c r="A31" s="23" t="s">
        <v>17</v>
      </c>
      <c r="B31" s="51">
        <v>410000</v>
      </c>
      <c r="C31" s="51"/>
      <c r="D31" s="313" t="s">
        <v>51</v>
      </c>
      <c r="E31" s="313"/>
      <c r="F31" s="52">
        <f>+F32+F35+F37+F41+F44</f>
        <v>370699310</v>
      </c>
      <c r="G31" s="52">
        <f>+G32+G35+G37+G41+G44</f>
        <v>128332962.12</v>
      </c>
      <c r="H31" s="52">
        <f>+H32+H35+H37+H41+H44</f>
        <v>165702663.36800003</v>
      </c>
      <c r="I31" s="259">
        <f aca="true" t="shared" si="0" ref="I31:I62">+F31+G31+H31</f>
        <v>664734935.488</v>
      </c>
    </row>
    <row r="32" spans="1:9" ht="12.75" customHeight="1">
      <c r="A32" s="54">
        <v>1</v>
      </c>
      <c r="B32" s="11">
        <v>411000</v>
      </c>
      <c r="C32" s="20"/>
      <c r="D32" s="287" t="s">
        <v>52</v>
      </c>
      <c r="E32" s="287"/>
      <c r="F32" s="55">
        <f>+F33+F34</f>
        <v>361517231</v>
      </c>
      <c r="G32" s="55">
        <f>+G33+G34</f>
        <v>121627209.12</v>
      </c>
      <c r="H32" s="55">
        <f>+H33+H34</f>
        <v>163808560.36800003</v>
      </c>
      <c r="I32" s="259">
        <f t="shared" si="0"/>
        <v>646953000.488</v>
      </c>
    </row>
    <row r="33" spans="1:9" ht="12">
      <c r="A33" s="298"/>
      <c r="B33" s="299"/>
      <c r="C33" s="56" t="s">
        <v>53</v>
      </c>
      <c r="D33" s="8">
        <v>411100</v>
      </c>
      <c r="E33" s="19" t="s">
        <v>458</v>
      </c>
      <c r="F33" s="222">
        <v>307289646</v>
      </c>
      <c r="G33" s="222">
        <v>103383127.752</v>
      </c>
      <c r="H33" s="222">
        <v>139237276.31280002</v>
      </c>
      <c r="I33" s="259">
        <f t="shared" si="0"/>
        <v>549910050.0648</v>
      </c>
    </row>
    <row r="34" spans="1:9" ht="16.5" customHeight="1">
      <c r="A34" s="298"/>
      <c r="B34" s="299"/>
      <c r="C34" s="56" t="s">
        <v>54</v>
      </c>
      <c r="D34" s="8">
        <v>412000</v>
      </c>
      <c r="E34" s="19" t="s">
        <v>55</v>
      </c>
      <c r="F34" s="216">
        <v>54227585</v>
      </c>
      <c r="G34" s="216">
        <v>18244081.368</v>
      </c>
      <c r="H34" s="216">
        <v>24571284.055200003</v>
      </c>
      <c r="I34" s="259">
        <f t="shared" si="0"/>
        <v>97042950.42320001</v>
      </c>
    </row>
    <row r="35" spans="1:9" ht="14.25" customHeight="1">
      <c r="A35" s="54">
        <v>2</v>
      </c>
      <c r="B35" s="11">
        <v>413000</v>
      </c>
      <c r="C35" s="20"/>
      <c r="D35" s="303" t="s">
        <v>60</v>
      </c>
      <c r="E35" s="303"/>
      <c r="F35" s="55">
        <f>+F36</f>
        <v>0</v>
      </c>
      <c r="G35" s="55">
        <f>+G36</f>
        <v>0</v>
      </c>
      <c r="H35" s="55">
        <f>+H36</f>
        <v>0</v>
      </c>
      <c r="I35" s="259">
        <f t="shared" si="0"/>
        <v>0</v>
      </c>
    </row>
    <row r="36" spans="1:9" ht="12.75" customHeight="1">
      <c r="A36" s="56"/>
      <c r="B36" s="4"/>
      <c r="C36" s="56" t="s">
        <v>61</v>
      </c>
      <c r="D36" s="8">
        <v>413151</v>
      </c>
      <c r="E36" s="19" t="s">
        <v>62</v>
      </c>
      <c r="F36" s="222"/>
      <c r="G36" s="222"/>
      <c r="H36" s="222"/>
      <c r="I36" s="259">
        <f t="shared" si="0"/>
        <v>0</v>
      </c>
    </row>
    <row r="37" spans="1:9" ht="12" customHeight="1">
      <c r="A37" s="54">
        <v>3</v>
      </c>
      <c r="B37" s="11">
        <v>414000</v>
      </c>
      <c r="C37" s="20"/>
      <c r="D37" s="303" t="s">
        <v>63</v>
      </c>
      <c r="E37" s="303"/>
      <c r="F37" s="55">
        <f>+F38+F39+F40</f>
        <v>282682</v>
      </c>
      <c r="G37" s="55">
        <f>+G38+G39+G40</f>
        <v>38618</v>
      </c>
      <c r="H37" s="55">
        <f>+H38+H39+H40</f>
        <v>134391</v>
      </c>
      <c r="I37" s="259">
        <f t="shared" si="0"/>
        <v>455691</v>
      </c>
    </row>
    <row r="38" spans="1:13" ht="12">
      <c r="A38" s="121"/>
      <c r="B38" s="72"/>
      <c r="C38" s="54" t="s">
        <v>64</v>
      </c>
      <c r="D38" s="8">
        <v>414311</v>
      </c>
      <c r="E38" s="19" t="s">
        <v>65</v>
      </c>
      <c r="F38" s="222">
        <v>282682</v>
      </c>
      <c r="G38" s="222">
        <v>38618</v>
      </c>
      <c r="H38" s="222">
        <v>134391</v>
      </c>
      <c r="I38" s="259">
        <f t="shared" si="0"/>
        <v>455691</v>
      </c>
      <c r="K38" s="259">
        <v>324546.1600013769</v>
      </c>
      <c r="L38" s="259">
        <v>44337.18314902672</v>
      </c>
      <c r="M38" s="259">
        <v>154293.81067328318</v>
      </c>
    </row>
    <row r="39" spans="1:13" ht="12">
      <c r="A39" s="123"/>
      <c r="B39" s="75"/>
      <c r="C39" s="54" t="s">
        <v>66</v>
      </c>
      <c r="D39" s="8">
        <v>414314</v>
      </c>
      <c r="E39" s="19" t="s">
        <v>67</v>
      </c>
      <c r="F39" s="222"/>
      <c r="G39" s="222"/>
      <c r="H39" s="222"/>
      <c r="I39" s="259">
        <f t="shared" si="0"/>
        <v>0</v>
      </c>
      <c r="K39" s="259">
        <v>0</v>
      </c>
      <c r="L39" s="259">
        <v>0</v>
      </c>
      <c r="M39" s="259">
        <v>0</v>
      </c>
    </row>
    <row r="40" spans="1:13" ht="22.5" customHeight="1">
      <c r="A40" s="136"/>
      <c r="B40" s="79"/>
      <c r="C40" s="54" t="s">
        <v>68</v>
      </c>
      <c r="D40" s="8">
        <v>414400</v>
      </c>
      <c r="E40" s="227" t="s">
        <v>69</v>
      </c>
      <c r="F40" s="222"/>
      <c r="G40" s="222"/>
      <c r="H40" s="222"/>
      <c r="I40" s="259">
        <f t="shared" si="0"/>
        <v>0</v>
      </c>
      <c r="K40" s="259">
        <v>0</v>
      </c>
      <c r="L40" s="259">
        <v>0</v>
      </c>
      <c r="M40" s="259">
        <v>0</v>
      </c>
    </row>
    <row r="41" spans="1:13" ht="12" customHeight="1">
      <c r="A41" s="54">
        <v>4</v>
      </c>
      <c r="B41" s="11">
        <v>415000</v>
      </c>
      <c r="C41" s="20"/>
      <c r="D41" s="303" t="s">
        <v>73</v>
      </c>
      <c r="E41" s="303"/>
      <c r="F41" s="132">
        <f>+F42+F43</f>
        <v>7854049</v>
      </c>
      <c r="G41" s="132">
        <f>+G42+G43</f>
        <v>6277394</v>
      </c>
      <c r="H41" s="132">
        <f>+H42+H43</f>
        <v>1250557</v>
      </c>
      <c r="I41" s="259">
        <f t="shared" si="0"/>
        <v>15382000</v>
      </c>
      <c r="K41" s="259">
        <v>9017204.644839976</v>
      </c>
      <c r="L41" s="259">
        <v>7207052.863343556</v>
      </c>
      <c r="M41" s="259">
        <v>1435759.872269341</v>
      </c>
    </row>
    <row r="42" spans="1:13" ht="12">
      <c r="A42" s="314"/>
      <c r="B42" s="299"/>
      <c r="C42" s="81" t="s">
        <v>74</v>
      </c>
      <c r="D42" s="82">
        <v>415111</v>
      </c>
      <c r="E42" s="83" t="s">
        <v>75</v>
      </c>
      <c r="F42" s="93"/>
      <c r="G42" s="93"/>
      <c r="H42" s="93"/>
      <c r="I42" s="259">
        <f t="shared" si="0"/>
        <v>0</v>
      </c>
      <c r="K42" s="259">
        <v>0</v>
      </c>
      <c r="L42" s="259">
        <v>0</v>
      </c>
      <c r="M42" s="259">
        <v>0</v>
      </c>
    </row>
    <row r="43" spans="1:13" ht="12">
      <c r="A43" s="314"/>
      <c r="B43" s="299"/>
      <c r="C43" s="186" t="s">
        <v>76</v>
      </c>
      <c r="D43" s="8">
        <v>415112</v>
      </c>
      <c r="E43" s="19" t="s">
        <v>77</v>
      </c>
      <c r="F43" s="222">
        <v>7854049</v>
      </c>
      <c r="G43" s="222">
        <v>6277394</v>
      </c>
      <c r="H43" s="222">
        <v>1250557</v>
      </c>
      <c r="I43" s="259">
        <f t="shared" si="0"/>
        <v>15382000</v>
      </c>
      <c r="K43" s="259">
        <v>9017204.644839976</v>
      </c>
      <c r="L43" s="259">
        <v>7207052.863343556</v>
      </c>
      <c r="M43" s="259">
        <v>1435759.872269341</v>
      </c>
    </row>
    <row r="44" spans="1:13" ht="12" customHeight="1">
      <c r="A44" s="54">
        <v>5</v>
      </c>
      <c r="B44" s="11">
        <v>416000</v>
      </c>
      <c r="C44" s="20"/>
      <c r="D44" s="303" t="s">
        <v>80</v>
      </c>
      <c r="E44" s="303"/>
      <c r="F44" s="55">
        <f>+F45</f>
        <v>1045348</v>
      </c>
      <c r="G44" s="55">
        <f>+G45</f>
        <v>389741</v>
      </c>
      <c r="H44" s="55">
        <f>+H45</f>
        <v>509155</v>
      </c>
      <c r="I44" s="259">
        <f t="shared" si="0"/>
        <v>1944244</v>
      </c>
      <c r="K44" s="259">
        <v>1200160.1773905638</v>
      </c>
      <c r="L44" s="259">
        <v>447460.2024362946</v>
      </c>
      <c r="M44" s="259">
        <v>584558.974733096</v>
      </c>
    </row>
    <row r="45" spans="1:13" ht="12">
      <c r="A45" s="54"/>
      <c r="B45" s="92"/>
      <c r="C45" s="56" t="s">
        <v>81</v>
      </c>
      <c r="D45" s="8">
        <v>416111</v>
      </c>
      <c r="E45" s="19" t="s">
        <v>82</v>
      </c>
      <c r="F45" s="230">
        <v>1045348</v>
      </c>
      <c r="G45" s="230">
        <v>389741</v>
      </c>
      <c r="H45" s="230">
        <v>509155</v>
      </c>
      <c r="I45" s="259">
        <f t="shared" si="0"/>
        <v>1944244</v>
      </c>
      <c r="K45" s="259">
        <v>1200160.1773905638</v>
      </c>
      <c r="L45" s="259">
        <v>447460.2024362946</v>
      </c>
      <c r="M45" s="259">
        <v>584558.974733096</v>
      </c>
    </row>
    <row r="46" spans="1:13" ht="12" customHeight="1">
      <c r="A46" s="10" t="s">
        <v>33</v>
      </c>
      <c r="B46" s="94">
        <v>420000</v>
      </c>
      <c r="C46" s="94"/>
      <c r="D46" s="304" t="s">
        <v>85</v>
      </c>
      <c r="E46" s="304"/>
      <c r="F46" s="52">
        <f>+F47+F71+F78+F92+F96+F125</f>
        <v>78496861.22089279</v>
      </c>
      <c r="G46" s="52">
        <f>+G47+G71+G78+G92+G96+G125</f>
        <v>24184903.399243787</v>
      </c>
      <c r="H46" s="52">
        <f>+H47+H71+H78+H92+H96+H125</f>
        <v>49230285.736314595</v>
      </c>
      <c r="I46" s="259">
        <f t="shared" si="0"/>
        <v>151912050.35645115</v>
      </c>
      <c r="K46" s="259">
        <v>90121956.40826705</v>
      </c>
      <c r="L46" s="259">
        <v>27766598.256092776</v>
      </c>
      <c r="M46" s="259">
        <v>56521109.202182874</v>
      </c>
    </row>
    <row r="47" spans="1:13" ht="12" customHeight="1">
      <c r="A47" s="10">
        <v>1</v>
      </c>
      <c r="B47" s="97">
        <v>421000</v>
      </c>
      <c r="C47" s="98"/>
      <c r="D47" s="303" t="s">
        <v>86</v>
      </c>
      <c r="E47" s="303"/>
      <c r="F47" s="233">
        <f>+F48+F51+F57+F61+F65+F69+F70</f>
        <v>15973664.525167912</v>
      </c>
      <c r="G47" s="233">
        <f>+G48+G51+G57+G61+G65+G69+G70</f>
        <v>10332460.222124875</v>
      </c>
      <c r="H47" s="233">
        <f>+H48+H51+H57+H61+H65+H69</f>
        <v>20204593.351276916</v>
      </c>
      <c r="I47" s="259">
        <f t="shared" si="0"/>
        <v>46510718.098569706</v>
      </c>
      <c r="K47" s="259">
        <v>18339305.236249436</v>
      </c>
      <c r="L47" s="259">
        <v>11862659.413961984</v>
      </c>
      <c r="M47" s="259">
        <v>23196818.99288343</v>
      </c>
    </row>
    <row r="48" spans="1:13" ht="12">
      <c r="A48" s="72"/>
      <c r="B48" s="4"/>
      <c r="C48" s="15" t="s">
        <v>87</v>
      </c>
      <c r="D48" s="11">
        <v>421100</v>
      </c>
      <c r="E48" s="101" t="s">
        <v>88</v>
      </c>
      <c r="F48" s="236">
        <f>+F49+F50</f>
        <v>1051680</v>
      </c>
      <c r="G48" s="236">
        <f>+G49+G50</f>
        <v>333200</v>
      </c>
      <c r="H48" s="236">
        <f>+H49+H50</f>
        <v>496720</v>
      </c>
      <c r="I48" s="259">
        <f t="shared" si="0"/>
        <v>1881600</v>
      </c>
      <c r="K48" s="259">
        <v>1207429.9232007982</v>
      </c>
      <c r="L48" s="259">
        <v>382545.68919301115</v>
      </c>
      <c r="M48" s="259">
        <v>570282.3971667242</v>
      </c>
    </row>
    <row r="49" spans="1:13" ht="12">
      <c r="A49" s="75"/>
      <c r="B49" s="305"/>
      <c r="C49" s="103" t="s">
        <v>89</v>
      </c>
      <c r="D49" s="8">
        <v>421111</v>
      </c>
      <c r="E49" s="19" t="s">
        <v>90</v>
      </c>
      <c r="F49" s="222">
        <v>1051680</v>
      </c>
      <c r="G49" s="230">
        <v>333200</v>
      </c>
      <c r="H49" s="230">
        <v>496720</v>
      </c>
      <c r="I49" s="259">
        <f t="shared" si="0"/>
        <v>1881600</v>
      </c>
      <c r="K49" s="259">
        <v>1207429.9232007982</v>
      </c>
      <c r="L49" s="259">
        <v>382545.68919301115</v>
      </c>
      <c r="M49" s="259">
        <v>570282.3971667242</v>
      </c>
    </row>
    <row r="50" spans="1:13" ht="12">
      <c r="A50" s="79"/>
      <c r="B50" s="305"/>
      <c r="C50" s="103" t="s">
        <v>91</v>
      </c>
      <c r="D50" s="8">
        <v>421121</v>
      </c>
      <c r="E50" s="19" t="s">
        <v>92</v>
      </c>
      <c r="F50" s="230"/>
      <c r="G50" s="230"/>
      <c r="H50" s="230"/>
      <c r="I50" s="259">
        <f t="shared" si="0"/>
        <v>0</v>
      </c>
      <c r="K50" s="259">
        <v>0</v>
      </c>
      <c r="L50" s="259">
        <v>0</v>
      </c>
      <c r="M50" s="259">
        <v>0</v>
      </c>
    </row>
    <row r="51" spans="1:13" ht="12">
      <c r="A51" s="75"/>
      <c r="B51" s="4"/>
      <c r="C51" s="15" t="s">
        <v>93</v>
      </c>
      <c r="D51" s="11">
        <v>421200</v>
      </c>
      <c r="E51" s="104" t="s">
        <v>94</v>
      </c>
      <c r="F51" s="140">
        <f>+F52+F55+F54+F56+F53</f>
        <v>11404777.525167912</v>
      </c>
      <c r="G51" s="140">
        <f>+G52+G55+G54+G56+G53</f>
        <v>7789114.222124875</v>
      </c>
      <c r="H51" s="140">
        <f>+H52+H55+H54+H56+H53</f>
        <v>16949538.351276916</v>
      </c>
      <c r="I51" s="259">
        <f t="shared" si="0"/>
        <v>36143430.098569706</v>
      </c>
      <c r="K51" s="259">
        <v>13093782.948554391</v>
      </c>
      <c r="L51" s="259">
        <v>8942653.266224025</v>
      </c>
      <c r="M51" s="259">
        <v>19459702.371226296</v>
      </c>
    </row>
    <row r="52" spans="1:13" ht="12">
      <c r="A52" s="75"/>
      <c r="B52" s="306"/>
      <c r="C52" s="103" t="s">
        <v>95</v>
      </c>
      <c r="D52" s="8">
        <v>421211</v>
      </c>
      <c r="E52" s="19" t="s">
        <v>96</v>
      </c>
      <c r="F52" s="222">
        <v>5247019.9570891755</v>
      </c>
      <c r="G52" s="222">
        <v>3179270.8598630913</v>
      </c>
      <c r="H52" s="222">
        <v>7742429.855793051</v>
      </c>
      <c r="I52" s="259">
        <f t="shared" si="0"/>
        <v>16168720.672745317</v>
      </c>
      <c r="J52" s="262"/>
      <c r="K52" s="259">
        <v>6024084.2307747975</v>
      </c>
      <c r="L52" s="259">
        <v>3650109.130304872</v>
      </c>
      <c r="M52" s="259">
        <v>8889055.11768577</v>
      </c>
    </row>
    <row r="53" spans="1:13" ht="12">
      <c r="A53" s="75"/>
      <c r="B53" s="306"/>
      <c r="C53" s="103"/>
      <c r="D53" s="8">
        <v>421222</v>
      </c>
      <c r="E53" s="19" t="s">
        <v>459</v>
      </c>
      <c r="F53" s="222">
        <v>0</v>
      </c>
      <c r="G53" s="222">
        <v>2933829.5836680965</v>
      </c>
      <c r="H53" s="261">
        <v>0</v>
      </c>
      <c r="I53" s="259">
        <f t="shared" si="0"/>
        <v>2933829.5836680965</v>
      </c>
      <c r="J53" s="262"/>
      <c r="K53" s="259">
        <v>0</v>
      </c>
      <c r="L53" s="259">
        <v>3368318.907740567</v>
      </c>
      <c r="M53" s="259">
        <v>0</v>
      </c>
    </row>
    <row r="54" spans="1:13" ht="12">
      <c r="A54" s="75"/>
      <c r="B54" s="306"/>
      <c r="C54" s="103" t="s">
        <v>97</v>
      </c>
      <c r="D54" s="8">
        <v>421221</v>
      </c>
      <c r="E54" s="19" t="s">
        <v>460</v>
      </c>
      <c r="F54" s="222">
        <v>4214796.915852668</v>
      </c>
      <c r="G54" s="261">
        <v>0</v>
      </c>
      <c r="H54" s="261">
        <v>0</v>
      </c>
      <c r="I54" s="259">
        <f t="shared" si="0"/>
        <v>4214796.915852668</v>
      </c>
      <c r="J54" s="262"/>
      <c r="K54" s="259">
        <v>4838992.770058333</v>
      </c>
      <c r="L54" s="259">
        <v>0</v>
      </c>
      <c r="M54" s="259">
        <v>0</v>
      </c>
    </row>
    <row r="55" spans="1:13" ht="12">
      <c r="A55" s="75"/>
      <c r="B55" s="306"/>
      <c r="C55" s="103" t="s">
        <v>99</v>
      </c>
      <c r="D55" s="8">
        <v>421224</v>
      </c>
      <c r="E55" s="19" t="s">
        <v>100</v>
      </c>
      <c r="F55" s="222">
        <v>1403553.0912639054</v>
      </c>
      <c r="G55" s="263">
        <v>0</v>
      </c>
      <c r="H55" s="222">
        <v>9207108.495483864</v>
      </c>
      <c r="I55" s="259">
        <f t="shared" si="0"/>
        <v>10610661.58674777</v>
      </c>
      <c r="J55" s="262"/>
      <c r="K55" s="259">
        <v>1611414.119497395</v>
      </c>
      <c r="L55" s="259">
        <v>0</v>
      </c>
      <c r="M55" s="259">
        <v>10570647.253540523</v>
      </c>
    </row>
    <row r="56" spans="1:13" ht="12">
      <c r="A56" s="75"/>
      <c r="B56" s="109"/>
      <c r="C56" s="103" t="s">
        <v>461</v>
      </c>
      <c r="D56" s="8">
        <v>421225</v>
      </c>
      <c r="E56" s="58" t="s">
        <v>218</v>
      </c>
      <c r="F56" s="222">
        <v>539407.5609621622</v>
      </c>
      <c r="G56" s="263">
        <v>1676013.7785936866</v>
      </c>
      <c r="H56" s="261">
        <v>0</v>
      </c>
      <c r="I56" s="259">
        <f t="shared" si="0"/>
        <v>2215421.339555849</v>
      </c>
      <c r="J56" s="262"/>
      <c r="K56" s="259">
        <v>619291.8282238641</v>
      </c>
      <c r="L56" s="259">
        <v>1924225.2281785854</v>
      </c>
      <c r="M56" s="259">
        <v>0</v>
      </c>
    </row>
    <row r="57" spans="1:13" ht="12">
      <c r="A57" s="75"/>
      <c r="B57" s="4"/>
      <c r="C57" s="107" t="s">
        <v>101</v>
      </c>
      <c r="D57" s="11">
        <v>421300</v>
      </c>
      <c r="E57" s="101" t="s">
        <v>102</v>
      </c>
      <c r="F57" s="146">
        <f>+F58+F59+F60</f>
        <v>1333294</v>
      </c>
      <c r="G57" s="146">
        <f>+G58+G59+G60</f>
        <v>1181708</v>
      </c>
      <c r="H57" s="146">
        <f>+H58+H59+H60</f>
        <v>1403571</v>
      </c>
      <c r="I57" s="259">
        <f t="shared" si="0"/>
        <v>3918573</v>
      </c>
      <c r="K57" s="259">
        <v>1530749.9163472587</v>
      </c>
      <c r="L57" s="259">
        <v>1356714.5896905607</v>
      </c>
      <c r="M57" s="259">
        <v>1611434.680451152</v>
      </c>
    </row>
    <row r="58" spans="1:13" ht="12">
      <c r="A58" s="75"/>
      <c r="B58" s="306"/>
      <c r="C58" s="103" t="s">
        <v>103</v>
      </c>
      <c r="D58" s="8">
        <v>421311</v>
      </c>
      <c r="E58" s="19" t="s">
        <v>104</v>
      </c>
      <c r="F58" s="222">
        <f>729783+134191</f>
        <v>863974</v>
      </c>
      <c r="G58" s="222">
        <f>277254+45803</f>
        <v>323057</v>
      </c>
      <c r="H58" s="222">
        <f>804959+158018</f>
        <v>962977</v>
      </c>
      <c r="I58" s="259">
        <f t="shared" si="0"/>
        <v>2150008</v>
      </c>
      <c r="J58" s="259">
        <v>2005537</v>
      </c>
      <c r="K58" s="259">
        <v>991925.3579677149</v>
      </c>
      <c r="L58" s="259">
        <v>370900.5483602239</v>
      </c>
      <c r="M58" s="259">
        <v>1105590.3365606791</v>
      </c>
    </row>
    <row r="59" spans="1:13" ht="12">
      <c r="A59" s="75"/>
      <c r="B59" s="306"/>
      <c r="C59" s="103" t="s">
        <v>462</v>
      </c>
      <c r="D59" s="8">
        <v>421324</v>
      </c>
      <c r="E59" s="19" t="s">
        <v>108</v>
      </c>
      <c r="F59" s="222">
        <f>313183+49765</f>
        <v>362948</v>
      </c>
      <c r="G59" s="222">
        <f>619997+113727</f>
        <v>733724</v>
      </c>
      <c r="H59" s="222">
        <f>173457+36905</f>
        <v>210362</v>
      </c>
      <c r="I59" s="259">
        <f t="shared" si="0"/>
        <v>1307034</v>
      </c>
      <c r="K59" s="259">
        <v>416699.2581069178</v>
      </c>
      <c r="L59" s="259">
        <v>842385.814097998</v>
      </c>
      <c r="M59" s="259">
        <v>241515.8351441183</v>
      </c>
    </row>
    <row r="60" spans="1:13" ht="12">
      <c r="A60" s="75"/>
      <c r="B60" s="306"/>
      <c r="C60" s="103" t="s">
        <v>107</v>
      </c>
      <c r="D60" s="8">
        <v>421391</v>
      </c>
      <c r="E60" s="19" t="s">
        <v>463</v>
      </c>
      <c r="F60" s="222">
        <f>45975+60397</f>
        <v>106372</v>
      </c>
      <c r="G60" s="222">
        <v>124927</v>
      </c>
      <c r="H60" s="222">
        <v>230232</v>
      </c>
      <c r="I60" s="259">
        <f t="shared" si="0"/>
        <v>461531</v>
      </c>
      <c r="K60" s="259">
        <v>122125.30027262599</v>
      </c>
      <c r="L60" s="259">
        <v>143428.22723233883</v>
      </c>
      <c r="M60" s="259">
        <v>264328.50874635455</v>
      </c>
    </row>
    <row r="61" spans="1:13" ht="12">
      <c r="A61" s="75"/>
      <c r="B61" s="4"/>
      <c r="C61" s="107" t="s">
        <v>113</v>
      </c>
      <c r="D61" s="11">
        <v>421400</v>
      </c>
      <c r="E61" s="101" t="s">
        <v>114</v>
      </c>
      <c r="F61" s="146">
        <f>+F62+F63+F64</f>
        <v>909696</v>
      </c>
      <c r="G61" s="146">
        <f>+G62+G63+G64</f>
        <v>387433</v>
      </c>
      <c r="H61" s="146">
        <f>+H62+H63+H64</f>
        <v>391040</v>
      </c>
      <c r="I61" s="259">
        <f t="shared" si="0"/>
        <v>1688169</v>
      </c>
      <c r="K61" s="259">
        <v>1044418.6172752865</v>
      </c>
      <c r="L61" s="259">
        <v>444810.39616181236</v>
      </c>
      <c r="M61" s="259">
        <v>448951.5795379204</v>
      </c>
    </row>
    <row r="62" spans="1:13" ht="12">
      <c r="A62" s="75"/>
      <c r="B62" s="305"/>
      <c r="C62" s="103" t="s">
        <v>115</v>
      </c>
      <c r="D62" s="8">
        <v>421411</v>
      </c>
      <c r="E62" s="19" t="s">
        <v>116</v>
      </c>
      <c r="F62" s="230">
        <f>716124+120758</f>
        <v>836882</v>
      </c>
      <c r="G62" s="230">
        <f>332496+53379</f>
        <v>385875</v>
      </c>
      <c r="H62" s="230">
        <f>311400+59146</f>
        <v>370546</v>
      </c>
      <c r="I62" s="259">
        <f t="shared" si="0"/>
        <v>1593303</v>
      </c>
      <c r="K62" s="259">
        <v>960821.1328428137</v>
      </c>
      <c r="L62" s="259">
        <v>443021.66211690626</v>
      </c>
      <c r="M62" s="259">
        <v>425422.4938406768</v>
      </c>
    </row>
    <row r="63" spans="1:13" ht="12">
      <c r="A63" s="75"/>
      <c r="B63" s="305"/>
      <c r="C63" s="103" t="s">
        <v>117</v>
      </c>
      <c r="D63" s="8">
        <v>421414</v>
      </c>
      <c r="E63" s="19" t="s">
        <v>118</v>
      </c>
      <c r="F63" s="258">
        <v>0</v>
      </c>
      <c r="G63" s="230">
        <v>0</v>
      </c>
      <c r="H63" s="230">
        <v>0</v>
      </c>
      <c r="I63" s="259">
        <f aca="true" t="shared" si="1" ref="I63:I94">+F63+G63+H63</f>
        <v>0</v>
      </c>
      <c r="K63" s="259">
        <v>0</v>
      </c>
      <c r="L63" s="259">
        <v>0</v>
      </c>
      <c r="M63" s="259">
        <v>0</v>
      </c>
    </row>
    <row r="64" spans="1:13" ht="12">
      <c r="A64" s="79"/>
      <c r="B64" s="305"/>
      <c r="C64" s="103" t="s">
        <v>119</v>
      </c>
      <c r="D64" s="8" t="s">
        <v>464</v>
      </c>
      <c r="E64" s="19" t="s">
        <v>465</v>
      </c>
      <c r="F64" s="230">
        <f>20231+51511+1072</f>
        <v>72814</v>
      </c>
      <c r="G64" s="230">
        <v>1558</v>
      </c>
      <c r="H64" s="230">
        <f>17494+3000</f>
        <v>20494</v>
      </c>
      <c r="I64" s="259">
        <f t="shared" si="1"/>
        <v>94866</v>
      </c>
      <c r="K64" s="259">
        <v>83597.48443247273</v>
      </c>
      <c r="L64" s="259">
        <v>1788.7340449060964</v>
      </c>
      <c r="M64" s="259">
        <v>23529.08569724361</v>
      </c>
    </row>
    <row r="65" spans="1:13" ht="12">
      <c r="A65" s="75"/>
      <c r="B65" s="4"/>
      <c r="C65" s="107" t="s">
        <v>129</v>
      </c>
      <c r="D65" s="11">
        <v>421500</v>
      </c>
      <c r="E65" s="101" t="s">
        <v>130</v>
      </c>
      <c r="F65" s="146">
        <f>+F66+F67+F68</f>
        <v>963913</v>
      </c>
      <c r="G65" s="146">
        <f>+G66+G67+G68</f>
        <v>573780</v>
      </c>
      <c r="H65" s="146">
        <f>+H66+H67+H68</f>
        <v>870156</v>
      </c>
      <c r="I65" s="259">
        <f t="shared" si="1"/>
        <v>2407849</v>
      </c>
      <c r="K65" s="259">
        <v>1106664.9547031901</v>
      </c>
      <c r="L65" s="259">
        <v>658754.6985149038</v>
      </c>
      <c r="M65" s="259">
        <v>999022.8893320342</v>
      </c>
    </row>
    <row r="66" spans="1:13" ht="12">
      <c r="A66" s="75"/>
      <c r="B66" s="305"/>
      <c r="C66" s="103" t="s">
        <v>131</v>
      </c>
      <c r="D66" s="8">
        <v>421512</v>
      </c>
      <c r="E66" s="19" t="s">
        <v>132</v>
      </c>
      <c r="F66" s="230">
        <v>365041</v>
      </c>
      <c r="G66" s="230">
        <v>212919</v>
      </c>
      <c r="H66" s="230">
        <v>251113</v>
      </c>
      <c r="I66" s="259">
        <f t="shared" si="1"/>
        <v>829073</v>
      </c>
      <c r="K66" s="259">
        <v>419102.22367558815</v>
      </c>
      <c r="L66" s="259">
        <v>244451.51739881973</v>
      </c>
      <c r="M66" s="259">
        <v>288301.90771405946</v>
      </c>
    </row>
    <row r="67" spans="1:13" ht="12">
      <c r="A67" s="75"/>
      <c r="B67" s="305"/>
      <c r="C67" s="103" t="s">
        <v>133</v>
      </c>
      <c r="D67" s="8">
        <v>421519</v>
      </c>
      <c r="E67" s="19" t="s">
        <v>134</v>
      </c>
      <c r="F67" s="230">
        <v>427961</v>
      </c>
      <c r="G67" s="230">
        <v>300330</v>
      </c>
      <c r="H67" s="230">
        <v>536461</v>
      </c>
      <c r="I67" s="259">
        <f t="shared" si="1"/>
        <v>1264752</v>
      </c>
      <c r="K67" s="259">
        <v>491340.4432554929</v>
      </c>
      <c r="L67" s="259">
        <v>344807.7636114557</v>
      </c>
      <c r="M67" s="259">
        <v>615908.8924675029</v>
      </c>
    </row>
    <row r="68" spans="1:13" ht="12">
      <c r="A68" s="75"/>
      <c r="B68" s="305"/>
      <c r="C68" s="103" t="s">
        <v>135</v>
      </c>
      <c r="D68" s="8">
        <v>421521</v>
      </c>
      <c r="E68" s="19" t="s">
        <v>136</v>
      </c>
      <c r="F68" s="230">
        <v>170911</v>
      </c>
      <c r="G68" s="230">
        <v>60531</v>
      </c>
      <c r="H68" s="230">
        <v>82582</v>
      </c>
      <c r="I68" s="259">
        <f t="shared" si="1"/>
        <v>314024</v>
      </c>
      <c r="K68" s="259">
        <v>196222.28777210903</v>
      </c>
      <c r="L68" s="259">
        <v>69495.41750462832</v>
      </c>
      <c r="M68" s="259">
        <v>94812.08915047193</v>
      </c>
    </row>
    <row r="69" spans="1:13" ht="12">
      <c r="A69" s="75"/>
      <c r="B69" s="93"/>
      <c r="C69" s="107" t="s">
        <v>139</v>
      </c>
      <c r="D69" s="11">
        <v>421600</v>
      </c>
      <c r="E69" s="101" t="s">
        <v>140</v>
      </c>
      <c r="F69" s="146">
        <v>310304</v>
      </c>
      <c r="G69" s="146">
        <v>67225</v>
      </c>
      <c r="H69" s="146">
        <v>93568</v>
      </c>
      <c r="I69" s="259">
        <f t="shared" si="1"/>
        <v>471097</v>
      </c>
      <c r="K69" s="259">
        <v>356258.8761685118</v>
      </c>
      <c r="L69" s="259">
        <v>77180.77417767158</v>
      </c>
      <c r="M69" s="259">
        <v>107425.07516930273</v>
      </c>
    </row>
    <row r="70" spans="1:13" ht="12">
      <c r="A70" s="79"/>
      <c r="B70" s="93"/>
      <c r="C70" s="107" t="s">
        <v>141</v>
      </c>
      <c r="D70" s="11">
        <v>421900</v>
      </c>
      <c r="E70" s="101" t="s">
        <v>143</v>
      </c>
      <c r="F70" s="230"/>
      <c r="G70" s="261"/>
      <c r="I70" s="259">
        <f t="shared" si="1"/>
        <v>0</v>
      </c>
      <c r="K70" s="259">
        <v>0</v>
      </c>
      <c r="L70" s="259">
        <v>0</v>
      </c>
      <c r="M70" s="259">
        <v>0</v>
      </c>
    </row>
    <row r="71" spans="1:13" ht="12" customHeight="1">
      <c r="A71" s="10">
        <v>2</v>
      </c>
      <c r="B71" s="11">
        <v>422000</v>
      </c>
      <c r="C71" s="8"/>
      <c r="D71" s="287" t="s">
        <v>144</v>
      </c>
      <c r="E71" s="287"/>
      <c r="F71" s="132">
        <f>+F72+F77</f>
        <v>766010</v>
      </c>
      <c r="G71" s="132">
        <f>+G72+G77</f>
        <v>91145</v>
      </c>
      <c r="H71" s="132">
        <f>+H72+H77</f>
        <v>212383</v>
      </c>
      <c r="I71" s="259">
        <f t="shared" si="1"/>
        <v>1069538</v>
      </c>
      <c r="K71" s="259">
        <v>879453.2514367901</v>
      </c>
      <c r="L71" s="259">
        <v>104643.23781961885</v>
      </c>
      <c r="M71" s="259">
        <v>243836.13777874934</v>
      </c>
    </row>
    <row r="72" spans="1:13" ht="12">
      <c r="A72" s="121"/>
      <c r="B72" s="4"/>
      <c r="C72" s="102" t="s">
        <v>145</v>
      </c>
      <c r="D72" s="11">
        <v>422100</v>
      </c>
      <c r="E72" s="122" t="s">
        <v>146</v>
      </c>
      <c r="F72" s="146">
        <f>+F73+F74+F75</f>
        <v>766010</v>
      </c>
      <c r="G72" s="146">
        <f>+G73+G74+G75</f>
        <v>91145</v>
      </c>
      <c r="H72" s="146">
        <f>+H73+H74+H75</f>
        <v>212383</v>
      </c>
      <c r="I72" s="259">
        <f t="shared" si="1"/>
        <v>1069538</v>
      </c>
      <c r="K72" s="259">
        <v>879453.2514367901</v>
      </c>
      <c r="L72" s="259">
        <v>104643.23781961885</v>
      </c>
      <c r="M72" s="259">
        <v>243836.13777874934</v>
      </c>
    </row>
    <row r="73" spans="1:13" ht="12">
      <c r="A73" s="123"/>
      <c r="B73" s="305"/>
      <c r="C73" s="103" t="s">
        <v>147</v>
      </c>
      <c r="D73" s="8">
        <v>422111</v>
      </c>
      <c r="E73" s="19" t="s">
        <v>466</v>
      </c>
      <c r="F73" s="230">
        <v>693000</v>
      </c>
      <c r="G73" s="222">
        <v>57200</v>
      </c>
      <c r="H73" s="222">
        <v>141350</v>
      </c>
      <c r="I73" s="259">
        <f t="shared" si="1"/>
        <v>891550</v>
      </c>
      <c r="K73" s="259">
        <v>795630.7401283215</v>
      </c>
      <c r="L73" s="259">
        <v>65671.10870900431</v>
      </c>
      <c r="M73" s="259">
        <v>162283.41286744335</v>
      </c>
    </row>
    <row r="74" spans="1:13" ht="12">
      <c r="A74" s="123"/>
      <c r="B74" s="305"/>
      <c r="C74" s="103" t="s">
        <v>149</v>
      </c>
      <c r="D74" s="8">
        <v>422121</v>
      </c>
      <c r="E74" s="19" t="s">
        <v>150</v>
      </c>
      <c r="F74" s="230">
        <v>73010</v>
      </c>
      <c r="G74" s="222">
        <v>33945</v>
      </c>
      <c r="H74" s="222">
        <v>70655</v>
      </c>
      <c r="I74" s="259">
        <f t="shared" si="1"/>
        <v>177610</v>
      </c>
      <c r="K74" s="259">
        <v>83822.51130846862</v>
      </c>
      <c r="L74" s="259">
        <v>38972.129110614536</v>
      </c>
      <c r="M74" s="259">
        <v>81118.74450759965</v>
      </c>
    </row>
    <row r="75" spans="1:13" ht="12">
      <c r="A75" s="123"/>
      <c r="B75" s="305"/>
      <c r="C75" s="103" t="s">
        <v>151</v>
      </c>
      <c r="D75" s="8" t="s">
        <v>152</v>
      </c>
      <c r="E75" s="19" t="s">
        <v>153</v>
      </c>
      <c r="F75" s="230"/>
      <c r="G75" s="230"/>
      <c r="H75" s="230">
        <v>378</v>
      </c>
      <c r="I75" s="259">
        <f t="shared" si="1"/>
        <v>378</v>
      </c>
      <c r="K75" s="259">
        <v>0</v>
      </c>
      <c r="L75" s="259">
        <v>0</v>
      </c>
      <c r="M75" s="259">
        <v>433.98040370635715</v>
      </c>
    </row>
    <row r="76" spans="1:13" ht="12">
      <c r="A76" s="123"/>
      <c r="B76" s="305"/>
      <c r="C76" s="103" t="s">
        <v>467</v>
      </c>
      <c r="D76" s="8">
        <v>422200</v>
      </c>
      <c r="E76" s="19" t="s">
        <v>155</v>
      </c>
      <c r="F76" s="230"/>
      <c r="G76" s="230"/>
      <c r="H76" s="230"/>
      <c r="I76" s="259">
        <f t="shared" si="1"/>
        <v>0</v>
      </c>
      <c r="K76" s="259">
        <v>0</v>
      </c>
      <c r="L76" s="259">
        <v>0</v>
      </c>
      <c r="M76" s="259">
        <v>0</v>
      </c>
    </row>
    <row r="77" spans="1:13" ht="12">
      <c r="A77" s="136"/>
      <c r="B77" s="4"/>
      <c r="C77" s="102" t="s">
        <v>468</v>
      </c>
      <c r="D77" s="11">
        <v>422300</v>
      </c>
      <c r="E77" s="122" t="s">
        <v>157</v>
      </c>
      <c r="F77" s="146"/>
      <c r="G77" s="146"/>
      <c r="H77" s="146"/>
      <c r="I77" s="259">
        <f t="shared" si="1"/>
        <v>0</v>
      </c>
      <c r="K77" s="259">
        <v>0</v>
      </c>
      <c r="L77" s="259">
        <v>0</v>
      </c>
      <c r="M77" s="259">
        <v>0</v>
      </c>
    </row>
    <row r="78" spans="1:13" ht="16.5" customHeight="1">
      <c r="A78" s="54">
        <v>3</v>
      </c>
      <c r="B78" s="11">
        <v>423000</v>
      </c>
      <c r="C78" s="8"/>
      <c r="D78" s="287" t="s">
        <v>162</v>
      </c>
      <c r="E78" s="287"/>
      <c r="F78" s="132">
        <f>+F79+F80+F83+F86+F89+F90+F91</f>
        <v>3781574</v>
      </c>
      <c r="G78" s="132">
        <f>+G79+G80+G83+G86+G89+G90+G91</f>
        <v>67953</v>
      </c>
      <c r="H78" s="132">
        <f>+H79+H80+H83+H86+H89+H90+H91</f>
        <v>470450</v>
      </c>
      <c r="I78" s="259">
        <f t="shared" si="1"/>
        <v>4319977</v>
      </c>
      <c r="K78" s="259">
        <v>4341611.1406493755</v>
      </c>
      <c r="L78" s="259">
        <v>78016.58828851346</v>
      </c>
      <c r="M78" s="259">
        <v>540121.9072054385</v>
      </c>
    </row>
    <row r="79" spans="1:13" ht="15.75" customHeight="1">
      <c r="A79" s="121"/>
      <c r="B79" s="93"/>
      <c r="C79" s="102" t="s">
        <v>163</v>
      </c>
      <c r="D79" s="11">
        <v>423100</v>
      </c>
      <c r="E79" s="122" t="s">
        <v>164</v>
      </c>
      <c r="F79" s="146"/>
      <c r="G79" s="261"/>
      <c r="H79" s="146"/>
      <c r="I79" s="259">
        <f t="shared" si="1"/>
        <v>0</v>
      </c>
      <c r="K79" s="259">
        <v>0</v>
      </c>
      <c r="L79" s="259">
        <v>0</v>
      </c>
      <c r="M79" s="259">
        <v>0</v>
      </c>
    </row>
    <row r="80" spans="1:13" ht="15.75" customHeight="1">
      <c r="A80" s="123"/>
      <c r="B80" s="93"/>
      <c r="C80" s="102" t="s">
        <v>167</v>
      </c>
      <c r="D80" s="11">
        <v>423200</v>
      </c>
      <c r="E80" s="122" t="s">
        <v>168</v>
      </c>
      <c r="F80" s="146">
        <f>+F81+F82</f>
        <v>2126681</v>
      </c>
      <c r="G80" s="261"/>
      <c r="H80" s="146">
        <f>+H81+H82</f>
        <v>0</v>
      </c>
      <c r="I80" s="259">
        <f t="shared" si="1"/>
        <v>2126681</v>
      </c>
      <c r="K80" s="259">
        <v>2441634.6003561886</v>
      </c>
      <c r="L80" s="259">
        <v>0</v>
      </c>
      <c r="M80" s="259">
        <v>0</v>
      </c>
    </row>
    <row r="81" spans="1:13" ht="15.75" customHeight="1">
      <c r="A81" s="123"/>
      <c r="B81" s="305"/>
      <c r="C81" s="103" t="s">
        <v>169</v>
      </c>
      <c r="D81" s="8">
        <v>423211</v>
      </c>
      <c r="E81" s="19" t="s">
        <v>469</v>
      </c>
      <c r="F81" s="230"/>
      <c r="G81" s="261"/>
      <c r="H81" s="230"/>
      <c r="I81" s="259">
        <f t="shared" si="1"/>
        <v>0</v>
      </c>
      <c r="K81" s="259">
        <v>0</v>
      </c>
      <c r="L81" s="259">
        <v>0</v>
      </c>
      <c r="M81" s="259">
        <v>0</v>
      </c>
    </row>
    <row r="82" spans="1:13" ht="14.25" customHeight="1">
      <c r="A82" s="123"/>
      <c r="B82" s="305"/>
      <c r="C82" s="103" t="s">
        <v>171</v>
      </c>
      <c r="D82" s="8">
        <v>423221</v>
      </c>
      <c r="E82" s="19" t="s">
        <v>470</v>
      </c>
      <c r="F82" s="230">
        <v>2126681</v>
      </c>
      <c r="G82" s="261"/>
      <c r="H82" s="230"/>
      <c r="I82" s="259">
        <f t="shared" si="1"/>
        <v>2126681</v>
      </c>
      <c r="K82" s="259">
        <v>2441634.6003561886</v>
      </c>
      <c r="L82" s="259">
        <v>0</v>
      </c>
      <c r="M82" s="259">
        <v>0</v>
      </c>
    </row>
    <row r="83" spans="1:13" ht="15" customHeight="1">
      <c r="A83" s="123"/>
      <c r="B83" s="4"/>
      <c r="C83" s="102" t="s">
        <v>175</v>
      </c>
      <c r="D83" s="11">
        <v>423300</v>
      </c>
      <c r="E83" s="122" t="s">
        <v>176</v>
      </c>
      <c r="F83" s="146">
        <f>+F84+F85</f>
        <v>0</v>
      </c>
      <c r="G83" s="261"/>
      <c r="H83" s="146">
        <f>+H84+H85</f>
        <v>24000</v>
      </c>
      <c r="I83" s="259">
        <f t="shared" si="1"/>
        <v>24000</v>
      </c>
      <c r="K83" s="259">
        <v>0</v>
      </c>
      <c r="L83" s="259">
        <v>0</v>
      </c>
      <c r="M83" s="259">
        <v>27554.311346435377</v>
      </c>
    </row>
    <row r="84" spans="1:13" ht="12">
      <c r="A84" s="123"/>
      <c r="B84" s="305"/>
      <c r="C84" s="103" t="s">
        <v>177</v>
      </c>
      <c r="D84" s="8">
        <v>423311</v>
      </c>
      <c r="E84" s="19" t="s">
        <v>178</v>
      </c>
      <c r="F84" s="230"/>
      <c r="G84" s="261"/>
      <c r="H84" s="230"/>
      <c r="I84" s="259">
        <f t="shared" si="1"/>
        <v>0</v>
      </c>
      <c r="K84" s="259">
        <v>0</v>
      </c>
      <c r="L84" s="259">
        <v>0</v>
      </c>
      <c r="M84" s="259">
        <v>0</v>
      </c>
    </row>
    <row r="85" spans="1:13" ht="12">
      <c r="A85" s="123"/>
      <c r="B85" s="305"/>
      <c r="C85" s="103" t="s">
        <v>179</v>
      </c>
      <c r="D85" s="8">
        <v>423321</v>
      </c>
      <c r="E85" s="19" t="s">
        <v>180</v>
      </c>
      <c r="F85" s="230"/>
      <c r="G85" s="261"/>
      <c r="H85" s="230">
        <v>24000</v>
      </c>
      <c r="I85" s="259">
        <f t="shared" si="1"/>
        <v>24000</v>
      </c>
      <c r="K85" s="259">
        <v>0</v>
      </c>
      <c r="L85" s="259">
        <v>0</v>
      </c>
      <c r="M85" s="259">
        <v>27554.311346435377</v>
      </c>
    </row>
    <row r="86" spans="1:13" ht="15" customHeight="1">
      <c r="A86" s="123"/>
      <c r="B86" s="4"/>
      <c r="C86" s="102" t="s">
        <v>183</v>
      </c>
      <c r="D86" s="11">
        <v>423400</v>
      </c>
      <c r="E86" s="122" t="s">
        <v>184</v>
      </c>
      <c r="F86" s="146">
        <f>+F87+F88</f>
        <v>0</v>
      </c>
      <c r="G86" s="261"/>
      <c r="H86" s="146">
        <f>+H87+H88</f>
        <v>0</v>
      </c>
      <c r="I86" s="259">
        <f t="shared" si="1"/>
        <v>0</v>
      </c>
      <c r="K86" s="259">
        <v>0</v>
      </c>
      <c r="L86" s="259">
        <v>0</v>
      </c>
      <c r="M86" s="259">
        <v>0</v>
      </c>
    </row>
    <row r="87" spans="1:13" ht="12">
      <c r="A87" s="123"/>
      <c r="B87" s="305"/>
      <c r="C87" s="103" t="s">
        <v>185</v>
      </c>
      <c r="D87" s="8">
        <v>423432</v>
      </c>
      <c r="E87" s="19" t="s">
        <v>186</v>
      </c>
      <c r="F87" s="230"/>
      <c r="G87" s="261"/>
      <c r="H87" s="230"/>
      <c r="I87" s="259">
        <f t="shared" si="1"/>
        <v>0</v>
      </c>
      <c r="K87" s="259">
        <v>0</v>
      </c>
      <c r="L87" s="259">
        <v>0</v>
      </c>
      <c r="M87" s="259">
        <v>0</v>
      </c>
    </row>
    <row r="88" spans="1:13" ht="12">
      <c r="A88" s="123"/>
      <c r="B88" s="305"/>
      <c r="C88" s="103" t="s">
        <v>187</v>
      </c>
      <c r="D88" s="8" t="s">
        <v>188</v>
      </c>
      <c r="E88" s="19" t="s">
        <v>189</v>
      </c>
      <c r="F88" s="230"/>
      <c r="G88" s="261"/>
      <c r="H88" s="230"/>
      <c r="I88" s="259">
        <f t="shared" si="1"/>
        <v>0</v>
      </c>
      <c r="K88" s="259">
        <v>0</v>
      </c>
      <c r="L88" s="259">
        <v>0</v>
      </c>
      <c r="M88" s="259">
        <v>0</v>
      </c>
    </row>
    <row r="89" spans="1:13" ht="12">
      <c r="A89" s="123"/>
      <c r="B89" s="93"/>
      <c r="C89" s="102" t="s">
        <v>190</v>
      </c>
      <c r="D89" s="11">
        <v>423599</v>
      </c>
      <c r="E89" s="122" t="s">
        <v>192</v>
      </c>
      <c r="F89" s="146"/>
      <c r="G89" s="261"/>
      <c r="H89" s="146"/>
      <c r="I89" s="259">
        <f t="shared" si="1"/>
        <v>0</v>
      </c>
      <c r="K89" s="259">
        <v>0</v>
      </c>
      <c r="L89" s="259">
        <v>0</v>
      </c>
      <c r="M89" s="259">
        <v>0</v>
      </c>
    </row>
    <row r="90" spans="1:13" ht="12">
      <c r="A90" s="123"/>
      <c r="B90" s="93"/>
      <c r="C90" s="102" t="s">
        <v>191</v>
      </c>
      <c r="D90" s="11">
        <v>423700</v>
      </c>
      <c r="E90" s="122" t="s">
        <v>194</v>
      </c>
      <c r="F90" s="230"/>
      <c r="G90" s="261"/>
      <c r="H90" s="230"/>
      <c r="I90" s="259">
        <f t="shared" si="1"/>
        <v>0</v>
      </c>
      <c r="K90" s="259">
        <v>0</v>
      </c>
      <c r="L90" s="259">
        <v>0</v>
      </c>
      <c r="M90" s="259">
        <v>0</v>
      </c>
    </row>
    <row r="91" spans="1:13" ht="12">
      <c r="A91" s="136"/>
      <c r="B91" s="93"/>
      <c r="C91" s="102" t="s">
        <v>193</v>
      </c>
      <c r="D91" s="11">
        <v>423900</v>
      </c>
      <c r="E91" s="122" t="s">
        <v>196</v>
      </c>
      <c r="F91" s="140">
        <v>1654893</v>
      </c>
      <c r="G91" s="140">
        <v>67953</v>
      </c>
      <c r="H91" s="140">
        <v>446450</v>
      </c>
      <c r="I91" s="259">
        <f t="shared" si="1"/>
        <v>2169296</v>
      </c>
      <c r="K91" s="259">
        <v>1899976.5402931867</v>
      </c>
      <c r="L91" s="259">
        <v>78016.58828851346</v>
      </c>
      <c r="M91" s="259">
        <v>512567.5958590031</v>
      </c>
    </row>
    <row r="92" spans="1:13" ht="16.5" customHeight="1">
      <c r="A92" s="54">
        <v>4</v>
      </c>
      <c r="B92" s="11">
        <v>424000</v>
      </c>
      <c r="C92" s="8"/>
      <c r="D92" s="287" t="s">
        <v>197</v>
      </c>
      <c r="E92" s="287"/>
      <c r="F92" s="132">
        <f>+F93</f>
        <v>137494</v>
      </c>
      <c r="G92" s="132">
        <f>+G93</f>
        <v>223892</v>
      </c>
      <c r="H92" s="132">
        <f>+H93</f>
        <v>206284</v>
      </c>
      <c r="I92" s="259">
        <f t="shared" si="1"/>
        <v>567670</v>
      </c>
      <c r="K92" s="259">
        <v>157856.35351111606</v>
      </c>
      <c r="L92" s="259">
        <v>257049.5781656712</v>
      </c>
      <c r="M92" s="259">
        <v>236833.89840783647</v>
      </c>
    </row>
    <row r="93" spans="1:13" ht="12">
      <c r="A93" s="121"/>
      <c r="B93" s="4"/>
      <c r="C93" s="102" t="s">
        <v>198</v>
      </c>
      <c r="D93" s="11">
        <v>424300</v>
      </c>
      <c r="E93" s="122" t="s">
        <v>199</v>
      </c>
      <c r="F93" s="146">
        <f>+F94+F95</f>
        <v>137494</v>
      </c>
      <c r="G93" s="146">
        <f>+G94+G95</f>
        <v>223892</v>
      </c>
      <c r="H93" s="146">
        <f>+H94+H95</f>
        <v>206284</v>
      </c>
      <c r="I93" s="259">
        <f t="shared" si="1"/>
        <v>567670</v>
      </c>
      <c r="K93" s="259">
        <v>157856.35351111606</v>
      </c>
      <c r="L93" s="259">
        <v>257049.5781656712</v>
      </c>
      <c r="M93" s="259">
        <v>236833.89840783647</v>
      </c>
    </row>
    <row r="94" spans="1:13" ht="12">
      <c r="A94" s="123"/>
      <c r="B94" s="305"/>
      <c r="C94" s="103" t="s">
        <v>471</v>
      </c>
      <c r="D94" s="8">
        <v>424311</v>
      </c>
      <c r="E94" s="19" t="s">
        <v>472</v>
      </c>
      <c r="F94" s="230"/>
      <c r="G94" s="230"/>
      <c r="H94" s="230"/>
      <c r="I94" s="259">
        <f t="shared" si="1"/>
        <v>0</v>
      </c>
      <c r="K94" s="259">
        <v>0</v>
      </c>
      <c r="L94" s="259">
        <v>0</v>
      </c>
      <c r="M94" s="259">
        <v>0</v>
      </c>
    </row>
    <row r="95" spans="1:13" ht="12">
      <c r="A95" s="136"/>
      <c r="B95" s="305"/>
      <c r="C95" s="103" t="s">
        <v>200</v>
      </c>
      <c r="D95" s="8">
        <v>424331</v>
      </c>
      <c r="E95" s="19" t="s">
        <v>201</v>
      </c>
      <c r="F95" s="230">
        <v>137494</v>
      </c>
      <c r="G95" s="230">
        <v>223892</v>
      </c>
      <c r="H95" s="230">
        <v>206284</v>
      </c>
      <c r="I95" s="259">
        <f aca="true" t="shared" si="2" ref="I95:I126">+F95+G95+H95</f>
        <v>567670</v>
      </c>
      <c r="K95" s="259">
        <v>157856.35351111606</v>
      </c>
      <c r="L95" s="259">
        <v>257049.5781656712</v>
      </c>
      <c r="M95" s="259">
        <v>236833.89840783647</v>
      </c>
    </row>
    <row r="96" spans="1:13" ht="15.75" customHeight="1">
      <c r="A96" s="54">
        <v>5</v>
      </c>
      <c r="B96" s="11">
        <v>425000</v>
      </c>
      <c r="C96" s="20"/>
      <c r="D96" s="287" t="s">
        <v>204</v>
      </c>
      <c r="E96" s="287"/>
      <c r="F96" s="132">
        <f>F97+F108</f>
        <v>6633533</v>
      </c>
      <c r="G96" s="132">
        <f>G97+G108</f>
        <v>2685375</v>
      </c>
      <c r="H96" s="132">
        <f>H97+H108</f>
        <v>2540499</v>
      </c>
      <c r="I96" s="259">
        <f t="shared" si="2"/>
        <v>11859407</v>
      </c>
      <c r="K96" s="259">
        <v>7615934.733702229</v>
      </c>
      <c r="L96" s="259">
        <v>3083069.117997246</v>
      </c>
      <c r="M96" s="259">
        <v>2916737.5175544885</v>
      </c>
    </row>
    <row r="97" spans="1:13" ht="15.75" customHeight="1">
      <c r="A97" s="121"/>
      <c r="B97" s="241"/>
      <c r="C97" s="102" t="s">
        <v>205</v>
      </c>
      <c r="D97" s="11">
        <v>425100</v>
      </c>
      <c r="E97" s="122" t="s">
        <v>206</v>
      </c>
      <c r="F97" s="140">
        <f>+F98+F99+F100+F101+F102+F103+F104+F106+F107+F105</f>
        <v>2439581</v>
      </c>
      <c r="G97" s="140">
        <f>+G98+G99+G100+G101+G102+G103+G104+G106+G107</f>
        <v>1436792</v>
      </c>
      <c r="H97" s="140">
        <f>+H98+H99+H100+H101+H102+H103+H104+H106+H107</f>
        <v>1470077</v>
      </c>
      <c r="I97" s="259">
        <f t="shared" si="2"/>
        <v>5346450</v>
      </c>
      <c r="K97" s="259">
        <v>2800873.93453534</v>
      </c>
      <c r="L97" s="259">
        <v>1649575.5878361491</v>
      </c>
      <c r="M97" s="259">
        <v>1687789.9733847366</v>
      </c>
    </row>
    <row r="98" spans="1:13" ht="12">
      <c r="A98" s="123"/>
      <c r="B98" s="299"/>
      <c r="C98" s="103" t="s">
        <v>207</v>
      </c>
      <c r="D98" s="8">
        <v>425111</v>
      </c>
      <c r="E98" s="19" t="s">
        <v>208</v>
      </c>
      <c r="F98" s="222"/>
      <c r="G98" s="222"/>
      <c r="H98" s="222"/>
      <c r="I98" s="259">
        <f t="shared" si="2"/>
        <v>0</v>
      </c>
      <c r="K98" s="259">
        <v>0</v>
      </c>
      <c r="L98" s="259">
        <v>0</v>
      </c>
      <c r="M98" s="259">
        <v>0</v>
      </c>
    </row>
    <row r="99" spans="1:13" ht="12">
      <c r="A99" s="123"/>
      <c r="B99" s="299"/>
      <c r="C99" s="103" t="s">
        <v>209</v>
      </c>
      <c r="D99" s="8">
        <v>425112</v>
      </c>
      <c r="E99" s="19" t="s">
        <v>210</v>
      </c>
      <c r="F99" s="222">
        <v>42114</v>
      </c>
      <c r="G99" s="222"/>
      <c r="H99" s="222">
        <v>210278</v>
      </c>
      <c r="I99" s="259">
        <f t="shared" si="2"/>
        <v>252392</v>
      </c>
      <c r="K99" s="259">
        <v>48350.927835157476</v>
      </c>
      <c r="L99" s="259">
        <v>0</v>
      </c>
      <c r="M99" s="259">
        <v>241419.39505440576</v>
      </c>
    </row>
    <row r="100" spans="1:13" ht="12">
      <c r="A100" s="123"/>
      <c r="B100" s="299"/>
      <c r="C100" s="103" t="s">
        <v>211</v>
      </c>
      <c r="D100" s="8">
        <v>425113</v>
      </c>
      <c r="E100" s="19" t="s">
        <v>212</v>
      </c>
      <c r="F100" s="222">
        <v>203725</v>
      </c>
      <c r="G100" s="222"/>
      <c r="H100" s="222">
        <v>0</v>
      </c>
      <c r="I100" s="259">
        <f t="shared" si="2"/>
        <v>203725</v>
      </c>
      <c r="K100" s="259">
        <v>233895.9199605228</v>
      </c>
      <c r="L100" s="259">
        <v>0</v>
      </c>
      <c r="M100" s="259">
        <v>0</v>
      </c>
    </row>
    <row r="101" spans="1:13" ht="12">
      <c r="A101" s="123"/>
      <c r="B101" s="299"/>
      <c r="C101" s="103" t="s">
        <v>213</v>
      </c>
      <c r="D101" s="8">
        <v>425114</v>
      </c>
      <c r="E101" s="19" t="s">
        <v>214</v>
      </c>
      <c r="F101" s="222">
        <v>78938</v>
      </c>
      <c r="G101" s="222">
        <v>1277000</v>
      </c>
      <c r="H101" s="222">
        <v>0</v>
      </c>
      <c r="I101" s="259">
        <f t="shared" si="2"/>
        <v>1355938</v>
      </c>
      <c r="K101" s="259">
        <v>90628.42621103815</v>
      </c>
      <c r="L101" s="259">
        <v>1466118.9828915824</v>
      </c>
      <c r="M101" s="259">
        <v>0</v>
      </c>
    </row>
    <row r="102" spans="1:13" ht="12">
      <c r="A102" s="123"/>
      <c r="B102" s="299"/>
      <c r="C102" s="103" t="s">
        <v>215</v>
      </c>
      <c r="D102" s="8">
        <v>425115</v>
      </c>
      <c r="E102" s="19" t="s">
        <v>216</v>
      </c>
      <c r="F102" s="222">
        <v>779900</v>
      </c>
      <c r="G102" s="222">
        <v>0</v>
      </c>
      <c r="H102" s="222">
        <v>152518</v>
      </c>
      <c r="I102" s="259">
        <f t="shared" si="2"/>
        <v>932418</v>
      </c>
      <c r="K102" s="259">
        <v>895400.3091285396</v>
      </c>
      <c r="L102" s="259">
        <v>0</v>
      </c>
      <c r="M102" s="259">
        <v>175105.3524139846</v>
      </c>
    </row>
    <row r="103" spans="1:13" ht="12">
      <c r="A103" s="123"/>
      <c r="B103" s="299"/>
      <c r="C103" s="103" t="s">
        <v>217</v>
      </c>
      <c r="D103" s="8">
        <v>425116</v>
      </c>
      <c r="E103" s="19" t="s">
        <v>218</v>
      </c>
      <c r="F103" s="222">
        <v>456793</v>
      </c>
      <c r="G103" s="222">
        <v>159792</v>
      </c>
      <c r="H103" s="222">
        <v>0</v>
      </c>
      <c r="I103" s="259">
        <f t="shared" si="2"/>
        <v>616585</v>
      </c>
      <c r="K103" s="259">
        <v>524442.3559530106</v>
      </c>
      <c r="L103" s="259">
        <v>183456.60494456673</v>
      </c>
      <c r="M103" s="259">
        <v>0</v>
      </c>
    </row>
    <row r="104" spans="1:13" s="259" customFormat="1" ht="12">
      <c r="A104" s="123"/>
      <c r="B104" s="299"/>
      <c r="C104" s="103" t="s">
        <v>219</v>
      </c>
      <c r="D104" s="8">
        <v>425117</v>
      </c>
      <c r="E104" s="19" t="s">
        <v>220</v>
      </c>
      <c r="F104" s="222">
        <v>9216</v>
      </c>
      <c r="G104" s="222"/>
      <c r="H104" s="222">
        <v>7100</v>
      </c>
      <c r="I104" s="259">
        <f t="shared" si="2"/>
        <v>16316</v>
      </c>
      <c r="K104" s="259">
        <v>10580.855557031184</v>
      </c>
      <c r="L104" s="259">
        <v>0</v>
      </c>
      <c r="M104" s="259">
        <v>8151.483773320466</v>
      </c>
    </row>
    <row r="105" spans="1:13" s="259" customFormat="1" ht="12">
      <c r="A105" s="123"/>
      <c r="B105" s="299"/>
      <c r="C105" s="103"/>
      <c r="D105" s="8">
        <v>425118</v>
      </c>
      <c r="E105" s="19" t="s">
        <v>222</v>
      </c>
      <c r="F105" s="222">
        <v>42500</v>
      </c>
      <c r="G105" s="222"/>
      <c r="H105" s="222"/>
      <c r="I105" s="259">
        <f t="shared" si="2"/>
        <v>42500</v>
      </c>
      <c r="K105" s="259">
        <v>48794.093009312644</v>
      </c>
      <c r="L105" s="259">
        <v>0</v>
      </c>
      <c r="M105" s="259">
        <v>0</v>
      </c>
    </row>
    <row r="106" spans="1:13" s="259" customFormat="1" ht="13.5" customHeight="1">
      <c r="A106" s="123"/>
      <c r="B106" s="299"/>
      <c r="C106" s="103" t="s">
        <v>221</v>
      </c>
      <c r="D106" s="8">
        <v>425119</v>
      </c>
      <c r="E106" s="227" t="s">
        <v>224</v>
      </c>
      <c r="F106" s="222">
        <v>0</v>
      </c>
      <c r="G106" s="222"/>
      <c r="H106" s="222">
        <v>0</v>
      </c>
      <c r="I106" s="259">
        <f t="shared" si="2"/>
        <v>0</v>
      </c>
      <c r="K106" s="259">
        <v>0</v>
      </c>
      <c r="L106" s="259">
        <v>0</v>
      </c>
      <c r="M106" s="259">
        <v>0</v>
      </c>
    </row>
    <row r="107" spans="1:13" s="259" customFormat="1" ht="12">
      <c r="A107" s="123"/>
      <c r="B107" s="299"/>
      <c r="C107" s="103" t="s">
        <v>223</v>
      </c>
      <c r="D107" s="8">
        <v>425191</v>
      </c>
      <c r="E107" s="19" t="s">
        <v>226</v>
      </c>
      <c r="F107" s="222">
        <v>826395</v>
      </c>
      <c r="G107" s="222"/>
      <c r="H107" s="222">
        <v>1100181</v>
      </c>
      <c r="I107" s="259">
        <f t="shared" si="2"/>
        <v>1926576</v>
      </c>
      <c r="K107" s="259">
        <v>948781.0468807276</v>
      </c>
      <c r="L107" s="259">
        <v>0</v>
      </c>
      <c r="M107" s="259">
        <v>1263113.7421430259</v>
      </c>
    </row>
    <row r="108" spans="1:13" s="259" customFormat="1" ht="18" customHeight="1">
      <c r="A108" s="123"/>
      <c r="B108" s="93"/>
      <c r="C108" s="102" t="s">
        <v>227</v>
      </c>
      <c r="D108" s="11">
        <v>425200</v>
      </c>
      <c r="E108" s="122" t="s">
        <v>228</v>
      </c>
      <c r="F108" s="146">
        <f>+F109+F114+F122+F123+F124</f>
        <v>4193952</v>
      </c>
      <c r="G108" s="146">
        <f>+G109+G114+G122+G123+G124</f>
        <v>1248583</v>
      </c>
      <c r="H108" s="146">
        <f>+H109+H114+H122+H123+H124</f>
        <v>1070422</v>
      </c>
      <c r="I108" s="259">
        <f t="shared" si="2"/>
        <v>6512957</v>
      </c>
      <c r="K108" s="259">
        <v>4815060.799166889</v>
      </c>
      <c r="L108" s="259">
        <v>1433493.5301610967</v>
      </c>
      <c r="M108" s="259">
        <v>1228947.544169752</v>
      </c>
    </row>
    <row r="109" spans="1:13" s="259" customFormat="1" ht="18" customHeight="1">
      <c r="A109" s="123"/>
      <c r="B109" s="242"/>
      <c r="C109" s="102" t="s">
        <v>229</v>
      </c>
      <c r="D109" s="11">
        <v>425210</v>
      </c>
      <c r="E109" s="122" t="s">
        <v>230</v>
      </c>
      <c r="F109" s="146">
        <f>+F110+F111+F112+F113</f>
        <v>3313131</v>
      </c>
      <c r="G109" s="146">
        <f>+G110+G111+G112+G113</f>
        <v>535275</v>
      </c>
      <c r="H109" s="146">
        <f>+H110+H111+H112+H113</f>
        <v>607422</v>
      </c>
      <c r="I109" s="259">
        <f t="shared" si="2"/>
        <v>4455828</v>
      </c>
      <c r="K109" s="259">
        <v>3803793.462730283</v>
      </c>
      <c r="L109" s="259">
        <v>614547.2502484665</v>
      </c>
      <c r="M109" s="259">
        <v>697378.9544447695</v>
      </c>
    </row>
    <row r="110" spans="1:13" s="259" customFormat="1" ht="12">
      <c r="A110" s="123"/>
      <c r="B110" s="305"/>
      <c r="C110" s="103" t="s">
        <v>231</v>
      </c>
      <c r="D110" s="8">
        <v>425211</v>
      </c>
      <c r="E110" s="19" t="s">
        <v>473</v>
      </c>
      <c r="F110" s="230">
        <v>3088596</v>
      </c>
      <c r="G110" s="230">
        <v>486910</v>
      </c>
      <c r="H110" s="230">
        <v>355163</v>
      </c>
      <c r="I110" s="259">
        <f t="shared" si="2"/>
        <v>3930669</v>
      </c>
      <c r="K110" s="259">
        <v>3546005.658639788</v>
      </c>
      <c r="L110" s="259">
        <v>559019.5724038687</v>
      </c>
      <c r="M110" s="259">
        <v>407761.3283639178</v>
      </c>
    </row>
    <row r="111" spans="1:13" s="259" customFormat="1" ht="12">
      <c r="A111" s="123"/>
      <c r="B111" s="305"/>
      <c r="C111" s="103" t="s">
        <v>474</v>
      </c>
      <c r="D111" s="8">
        <v>425212</v>
      </c>
      <c r="E111" s="19" t="s">
        <v>236</v>
      </c>
      <c r="F111" s="230">
        <v>3500</v>
      </c>
      <c r="G111" s="230">
        <v>0</v>
      </c>
      <c r="H111" s="230">
        <v>165499</v>
      </c>
      <c r="I111" s="259">
        <f t="shared" si="2"/>
        <v>168999</v>
      </c>
      <c r="K111" s="259">
        <v>4018.337071355159</v>
      </c>
      <c r="L111" s="259">
        <v>0</v>
      </c>
      <c r="M111" s="259">
        <v>190008.79056348786</v>
      </c>
    </row>
    <row r="112" spans="1:13" s="259" customFormat="1" ht="12">
      <c r="A112" s="123"/>
      <c r="B112" s="305"/>
      <c r="C112" s="103" t="s">
        <v>235</v>
      </c>
      <c r="D112" s="8">
        <v>425213</v>
      </c>
      <c r="E112" s="19" t="s">
        <v>238</v>
      </c>
      <c r="F112" s="230">
        <v>960</v>
      </c>
      <c r="G112" s="230">
        <v>7500</v>
      </c>
      <c r="H112" s="230">
        <v>31500</v>
      </c>
      <c r="I112" s="259">
        <f t="shared" si="2"/>
        <v>39960</v>
      </c>
      <c r="K112" s="259">
        <v>1102.1724538574151</v>
      </c>
      <c r="L112" s="259">
        <v>8610.722295761056</v>
      </c>
      <c r="M112" s="259">
        <v>36165.03364219643</v>
      </c>
    </row>
    <row r="113" spans="1:13" s="259" customFormat="1" ht="12">
      <c r="A113" s="136"/>
      <c r="B113" s="305"/>
      <c r="C113" s="103" t="s">
        <v>237</v>
      </c>
      <c r="D113" s="8">
        <v>425219</v>
      </c>
      <c r="E113" s="19" t="s">
        <v>242</v>
      </c>
      <c r="F113" s="230">
        <v>220075</v>
      </c>
      <c r="G113" s="230">
        <v>40865</v>
      </c>
      <c r="H113" s="230">
        <v>55260</v>
      </c>
      <c r="I113" s="259">
        <f t="shared" si="2"/>
        <v>316200</v>
      </c>
      <c r="K113" s="259">
        <v>252667.2945652819</v>
      </c>
      <c r="L113" s="259">
        <v>46916.95554883673</v>
      </c>
      <c r="M113" s="259">
        <v>63443.80187516745</v>
      </c>
    </row>
    <row r="114" spans="1:13" s="259" customFormat="1" ht="15.75" customHeight="1">
      <c r="A114" s="123"/>
      <c r="B114" s="242"/>
      <c r="C114" s="102" t="s">
        <v>243</v>
      </c>
      <c r="D114" s="11">
        <v>425220</v>
      </c>
      <c r="E114" s="122" t="s">
        <v>244</v>
      </c>
      <c r="F114" s="140">
        <f>+F115+F116+F117+F118+F119+F120+F121</f>
        <v>92140</v>
      </c>
      <c r="G114" s="140">
        <f>+G115+G116+G117+G118+G119+G120+G121</f>
        <v>92045</v>
      </c>
      <c r="H114" s="140">
        <f>+H115+H116+H117+H118+H119+H120+H121</f>
        <v>129572</v>
      </c>
      <c r="I114" s="259">
        <f t="shared" si="2"/>
        <v>313757</v>
      </c>
      <c r="K114" s="259">
        <v>105785.59364418982</v>
      </c>
      <c r="L114" s="259">
        <v>105676.52449511018</v>
      </c>
      <c r="M114" s="259">
        <v>148761.13457418018</v>
      </c>
    </row>
    <row r="115" spans="1:13" s="259" customFormat="1" ht="12">
      <c r="A115" s="123"/>
      <c r="B115" s="305"/>
      <c r="C115" s="103" t="s">
        <v>245</v>
      </c>
      <c r="D115" s="8">
        <v>425221</v>
      </c>
      <c r="E115" s="19" t="s">
        <v>246</v>
      </c>
      <c r="F115" s="222">
        <v>0</v>
      </c>
      <c r="G115" s="222"/>
      <c r="H115" s="222">
        <v>4000</v>
      </c>
      <c r="I115" s="259">
        <f t="shared" si="2"/>
        <v>4000</v>
      </c>
      <c r="K115" s="259">
        <v>0</v>
      </c>
      <c r="L115" s="259">
        <v>0</v>
      </c>
      <c r="M115" s="259">
        <v>4592.385224405896</v>
      </c>
    </row>
    <row r="116" spans="1:13" s="259" customFormat="1" ht="12">
      <c r="A116" s="123"/>
      <c r="B116" s="305"/>
      <c r="C116" s="103" t="s">
        <v>247</v>
      </c>
      <c r="D116" s="8">
        <v>425222</v>
      </c>
      <c r="E116" s="19" t="s">
        <v>248</v>
      </c>
      <c r="F116" s="222">
        <v>61604</v>
      </c>
      <c r="G116" s="222">
        <v>12864</v>
      </c>
      <c r="H116" s="222">
        <v>122932</v>
      </c>
      <c r="I116" s="259">
        <f t="shared" si="2"/>
        <v>197400</v>
      </c>
      <c r="K116" s="259">
        <v>70727.3248410752</v>
      </c>
      <c r="L116" s="259">
        <v>14769.110881689361</v>
      </c>
      <c r="M116" s="259">
        <v>141137.7751016664</v>
      </c>
    </row>
    <row r="117" spans="1:13" s="259" customFormat="1" ht="12">
      <c r="A117" s="123"/>
      <c r="B117" s="305"/>
      <c r="C117" s="103" t="s">
        <v>249</v>
      </c>
      <c r="D117" s="8">
        <v>425223</v>
      </c>
      <c r="E117" s="19" t="s">
        <v>250</v>
      </c>
      <c r="F117" s="222">
        <v>0</v>
      </c>
      <c r="G117" s="222">
        <v>0</v>
      </c>
      <c r="H117" s="222">
        <v>0</v>
      </c>
      <c r="I117" s="259">
        <f t="shared" si="2"/>
        <v>0</v>
      </c>
      <c r="K117" s="259">
        <v>0</v>
      </c>
      <c r="L117" s="259">
        <v>0</v>
      </c>
      <c r="M117" s="259">
        <v>0</v>
      </c>
    </row>
    <row r="118" spans="1:13" s="259" customFormat="1" ht="12">
      <c r="A118" s="123"/>
      <c r="B118" s="305"/>
      <c r="C118" s="103" t="s">
        <v>251</v>
      </c>
      <c r="D118" s="8">
        <v>425224</v>
      </c>
      <c r="E118" s="19" t="s">
        <v>252</v>
      </c>
      <c r="F118" s="222">
        <v>27086</v>
      </c>
      <c r="G118" s="222">
        <v>5280</v>
      </c>
      <c r="H118" s="222">
        <v>2640</v>
      </c>
      <c r="I118" s="259">
        <f t="shared" si="2"/>
        <v>35006</v>
      </c>
      <c r="K118" s="259">
        <v>31097.336547064526</v>
      </c>
      <c r="L118" s="259">
        <v>6061.948496215783</v>
      </c>
      <c r="M118" s="259">
        <v>3030.9742481078915</v>
      </c>
    </row>
    <row r="119" spans="1:13" s="259" customFormat="1" ht="12">
      <c r="A119" s="123"/>
      <c r="B119" s="305"/>
      <c r="C119" s="103" t="s">
        <v>253</v>
      </c>
      <c r="D119" s="8">
        <v>425225</v>
      </c>
      <c r="E119" s="19" t="s">
        <v>254</v>
      </c>
      <c r="F119" s="222">
        <v>2250</v>
      </c>
      <c r="G119" s="222">
        <v>73901</v>
      </c>
      <c r="H119" s="222">
        <v>0</v>
      </c>
      <c r="I119" s="259">
        <f t="shared" si="2"/>
        <v>76151</v>
      </c>
      <c r="K119" s="259">
        <v>2583.2166887283165</v>
      </c>
      <c r="L119" s="259">
        <v>84845.46511720504</v>
      </c>
      <c r="M119" s="259">
        <v>0</v>
      </c>
    </row>
    <row r="120" spans="1:13" s="259" customFormat="1" ht="12">
      <c r="A120" s="123"/>
      <c r="B120" s="305"/>
      <c r="C120" s="103" t="s">
        <v>255</v>
      </c>
      <c r="D120" s="8">
        <v>425226</v>
      </c>
      <c r="E120" s="19" t="s">
        <v>256</v>
      </c>
      <c r="F120" s="222">
        <v>0</v>
      </c>
      <c r="G120" s="222">
        <v>0</v>
      </c>
      <c r="H120" s="222">
        <v>0</v>
      </c>
      <c r="I120" s="259">
        <f t="shared" si="2"/>
        <v>0</v>
      </c>
      <c r="K120" s="259">
        <v>0</v>
      </c>
      <c r="L120" s="259">
        <v>0</v>
      </c>
      <c r="M120" s="259">
        <v>0</v>
      </c>
    </row>
    <row r="121" spans="1:13" s="259" customFormat="1" ht="13.5" customHeight="1">
      <c r="A121" s="123"/>
      <c r="B121" s="305"/>
      <c r="C121" s="103" t="s">
        <v>257</v>
      </c>
      <c r="D121" s="8">
        <v>425229</v>
      </c>
      <c r="E121" s="19" t="s">
        <v>258</v>
      </c>
      <c r="F121" s="222">
        <v>1200</v>
      </c>
      <c r="G121" s="222">
        <v>0</v>
      </c>
      <c r="H121" s="222">
        <v>0</v>
      </c>
      <c r="I121" s="259">
        <f t="shared" si="2"/>
        <v>1200</v>
      </c>
      <c r="K121" s="259">
        <v>1377.7155673217687</v>
      </c>
      <c r="L121" s="259">
        <v>0</v>
      </c>
      <c r="M121" s="259">
        <v>0</v>
      </c>
    </row>
    <row r="122" spans="1:13" s="259" customFormat="1" ht="15.75" customHeight="1">
      <c r="A122" s="123"/>
      <c r="B122" s="242"/>
      <c r="C122" s="102" t="s">
        <v>261</v>
      </c>
      <c r="D122" s="11">
        <v>425251</v>
      </c>
      <c r="E122" s="122" t="s">
        <v>262</v>
      </c>
      <c r="F122" s="146">
        <v>325800</v>
      </c>
      <c r="G122" s="146">
        <v>388148</v>
      </c>
      <c r="H122" s="146">
        <v>287618</v>
      </c>
      <c r="I122" s="259">
        <f t="shared" si="2"/>
        <v>1001566</v>
      </c>
      <c r="K122" s="259">
        <v>374049.7765278602</v>
      </c>
      <c r="L122" s="259">
        <v>445631.2850206749</v>
      </c>
      <c r="M122" s="259">
        <v>330213.1633682938</v>
      </c>
    </row>
    <row r="123" spans="1:13" s="259" customFormat="1" ht="16.5" customHeight="1">
      <c r="A123" s="123"/>
      <c r="B123" s="242"/>
      <c r="C123" s="102" t="s">
        <v>263</v>
      </c>
      <c r="D123" s="11">
        <v>425252</v>
      </c>
      <c r="E123" s="122" t="s">
        <v>268</v>
      </c>
      <c r="F123" s="146">
        <v>365026</v>
      </c>
      <c r="G123" s="146">
        <v>217719</v>
      </c>
      <c r="H123" s="146">
        <v>20436</v>
      </c>
      <c r="I123" s="259">
        <f t="shared" si="2"/>
        <v>603181</v>
      </c>
      <c r="K123" s="259">
        <v>419085.0022309967</v>
      </c>
      <c r="L123" s="259">
        <v>249962.37966810682</v>
      </c>
      <c r="M123" s="259">
        <v>23462.496111489723</v>
      </c>
    </row>
    <row r="124" spans="1:13" s="259" customFormat="1" ht="12">
      <c r="A124" s="136"/>
      <c r="B124" s="242"/>
      <c r="C124" s="102" t="s">
        <v>475</v>
      </c>
      <c r="D124" s="11">
        <v>425281</v>
      </c>
      <c r="E124" s="152" t="s">
        <v>272</v>
      </c>
      <c r="F124" s="146">
        <v>97855</v>
      </c>
      <c r="G124" s="146">
        <v>15396</v>
      </c>
      <c r="H124" s="146">
        <v>25374</v>
      </c>
      <c r="I124" s="259">
        <f t="shared" si="2"/>
        <v>138625</v>
      </c>
      <c r="K124" s="259">
        <v>112346.96403355974</v>
      </c>
      <c r="L124" s="259">
        <v>17676.090728738294</v>
      </c>
      <c r="M124" s="259">
        <v>29131.7956710188</v>
      </c>
    </row>
    <row r="125" spans="1:13" s="259" customFormat="1" ht="16.5" customHeight="1">
      <c r="A125" s="54">
        <v>6</v>
      </c>
      <c r="B125" s="11">
        <v>426000</v>
      </c>
      <c r="C125" s="8"/>
      <c r="D125" s="287" t="s">
        <v>273</v>
      </c>
      <c r="E125" s="287"/>
      <c r="F125" s="132">
        <f>+F126+F131+F132+F139+F154+F162</f>
        <v>51204585.69572488</v>
      </c>
      <c r="G125" s="132">
        <f>+G126+G131+G132+G139+G154+G162</f>
        <v>10784078.177118912</v>
      </c>
      <c r="H125" s="132">
        <f>+H126+H131+H132+H139+H154+H162</f>
        <v>25596076.385037675</v>
      </c>
      <c r="I125" s="259">
        <f t="shared" si="2"/>
        <v>87584740.25788146</v>
      </c>
      <c r="K125" s="259">
        <v>58787795.69271811</v>
      </c>
      <c r="L125" s="259">
        <v>12381160.319859741</v>
      </c>
      <c r="M125" s="259">
        <v>29386760.748352926</v>
      </c>
    </row>
    <row r="126" spans="1:13" s="259" customFormat="1" ht="12">
      <c r="A126" s="121"/>
      <c r="B126" s="4"/>
      <c r="C126" s="102" t="s">
        <v>274</v>
      </c>
      <c r="D126" s="11">
        <v>426100</v>
      </c>
      <c r="E126" s="122" t="s">
        <v>275</v>
      </c>
      <c r="F126" s="146">
        <f>+F127+F128+F129+F130</f>
        <v>2010986</v>
      </c>
      <c r="G126" s="146">
        <f>+G127+G128+G129+G130</f>
        <v>322438</v>
      </c>
      <c r="H126" s="146">
        <f>+H127+H128+H129+H130</f>
        <v>275966</v>
      </c>
      <c r="I126" s="259">
        <f t="shared" si="2"/>
        <v>2609390</v>
      </c>
      <c r="K126" s="259">
        <v>2308805.598221779</v>
      </c>
      <c r="L126" s="259">
        <v>370189.87674674706</v>
      </c>
      <c r="M126" s="259">
        <v>316835.54520959937</v>
      </c>
    </row>
    <row r="127" spans="1:13" s="259" customFormat="1" ht="12">
      <c r="A127" s="123"/>
      <c r="B127" s="305"/>
      <c r="C127" s="103" t="s">
        <v>276</v>
      </c>
      <c r="D127" s="8">
        <v>426111</v>
      </c>
      <c r="E127" s="19" t="s">
        <v>277</v>
      </c>
      <c r="F127" s="230">
        <f>193335-17290</f>
        <v>176045</v>
      </c>
      <c r="G127" s="230">
        <f>63434-677</f>
        <v>62757</v>
      </c>
      <c r="H127" s="230">
        <v>40365</v>
      </c>
      <c r="I127" s="259">
        <f aca="true" t="shared" si="3" ref="I127:I158">+F127+G127+H127</f>
        <v>279167</v>
      </c>
      <c r="K127" s="259">
        <v>202116.614207634</v>
      </c>
      <c r="L127" s="259">
        <v>72051.0798820102</v>
      </c>
      <c r="M127" s="259">
        <v>46342.907395785995</v>
      </c>
    </row>
    <row r="128" spans="1:13" s="259" customFormat="1" ht="12">
      <c r="A128" s="123"/>
      <c r="B128" s="305"/>
      <c r="C128" s="103" t="s">
        <v>278</v>
      </c>
      <c r="D128" s="8">
        <v>4261111</v>
      </c>
      <c r="E128" s="19" t="s">
        <v>279</v>
      </c>
      <c r="F128" s="230">
        <f>1382098-59362</f>
        <v>1322736</v>
      </c>
      <c r="G128" s="230">
        <f>256310-5883</f>
        <v>250427</v>
      </c>
      <c r="H128" s="230">
        <v>164003</v>
      </c>
      <c r="I128" s="259">
        <f t="shared" si="3"/>
        <v>1737166</v>
      </c>
      <c r="K128" s="259">
        <v>1518628.3155474393</v>
      </c>
      <c r="L128" s="259">
        <v>287514.3136480738</v>
      </c>
      <c r="M128" s="259">
        <v>188291.23848956003</v>
      </c>
    </row>
    <row r="129" spans="1:13" s="259" customFormat="1" ht="12">
      <c r="A129" s="123"/>
      <c r="B129" s="305"/>
      <c r="C129" s="103" t="s">
        <v>280</v>
      </c>
      <c r="D129" s="8">
        <v>4261112</v>
      </c>
      <c r="E129" s="19" t="s">
        <v>281</v>
      </c>
      <c r="F129" s="222">
        <f>58327-3625</f>
        <v>54702</v>
      </c>
      <c r="G129" s="222">
        <v>6104</v>
      </c>
      <c r="H129" s="222">
        <v>71598</v>
      </c>
      <c r="I129" s="259">
        <f t="shared" si="3"/>
        <v>132404</v>
      </c>
      <c r="K129" s="259">
        <v>62803.16413636283</v>
      </c>
      <c r="L129" s="259">
        <v>7007.979852443397</v>
      </c>
      <c r="M129" s="259">
        <v>82201.39932425333</v>
      </c>
    </row>
    <row r="130" spans="1:13" s="259" customFormat="1" ht="12">
      <c r="A130" s="123"/>
      <c r="B130" s="305"/>
      <c r="C130" s="103" t="s">
        <v>285</v>
      </c>
      <c r="D130" s="8">
        <v>426124</v>
      </c>
      <c r="E130" s="19" t="s">
        <v>286</v>
      </c>
      <c r="F130" s="222">
        <v>457503</v>
      </c>
      <c r="G130" s="222">
        <v>3150</v>
      </c>
      <c r="H130" s="222">
        <v>0</v>
      </c>
      <c r="I130" s="259">
        <f t="shared" si="3"/>
        <v>460653</v>
      </c>
      <c r="K130" s="259">
        <v>525257.5043303426</v>
      </c>
      <c r="L130" s="259">
        <v>3616.503364219643</v>
      </c>
      <c r="M130" s="259">
        <v>0</v>
      </c>
    </row>
    <row r="131" spans="1:13" s="259" customFormat="1" ht="22.5">
      <c r="A131" s="123"/>
      <c r="B131" s="93"/>
      <c r="C131" s="102" t="s">
        <v>289</v>
      </c>
      <c r="D131" s="11">
        <v>426300</v>
      </c>
      <c r="E131" s="122" t="s">
        <v>290</v>
      </c>
      <c r="F131" s="146">
        <v>23432</v>
      </c>
      <c r="G131" s="146"/>
      <c r="H131" s="146">
        <v>28730</v>
      </c>
      <c r="I131" s="259">
        <f t="shared" si="3"/>
        <v>52162</v>
      </c>
      <c r="K131" s="259">
        <v>26902.19264456974</v>
      </c>
      <c r="L131" s="259">
        <v>0</v>
      </c>
      <c r="M131" s="259">
        <v>32984.80687429535</v>
      </c>
    </row>
    <row r="132" spans="1:13" s="259" customFormat="1" ht="12">
      <c r="A132" s="123"/>
      <c r="B132" s="93"/>
      <c r="C132" s="102" t="s">
        <v>293</v>
      </c>
      <c r="D132" s="11">
        <v>426400</v>
      </c>
      <c r="E132" s="122" t="s">
        <v>294</v>
      </c>
      <c r="F132" s="146">
        <f>+F133+F134+F135+F136+F137+F138</f>
        <v>11164985.69572488</v>
      </c>
      <c r="G132" s="146">
        <f>+G133+G134+G135+G136+G137+G138</f>
        <v>2398969.9952583658</v>
      </c>
      <c r="H132" s="146">
        <f>+H133+H134+H135+H136+H137+H138</f>
        <v>6184156.210447052</v>
      </c>
      <c r="I132" s="259">
        <f t="shared" si="3"/>
        <v>19748111.901430298</v>
      </c>
      <c r="K132" s="259">
        <v>12818478.834937532</v>
      </c>
      <c r="L132" s="259">
        <v>2754248.5900044004</v>
      </c>
      <c r="M132" s="259">
        <v>7100006.90156875</v>
      </c>
    </row>
    <row r="133" spans="1:13" s="259" customFormat="1" ht="12">
      <c r="A133" s="123"/>
      <c r="B133" s="305"/>
      <c r="C133" s="103" t="s">
        <v>295</v>
      </c>
      <c r="D133" s="8">
        <v>4264111</v>
      </c>
      <c r="E133" s="19" t="s">
        <v>296</v>
      </c>
      <c r="F133" s="222">
        <v>253555.31397187532</v>
      </c>
      <c r="G133" s="222">
        <v>816355.7644977546</v>
      </c>
      <c r="H133" s="222">
        <v>1193331.4648568472</v>
      </c>
      <c r="I133" s="259">
        <f t="shared" si="3"/>
        <v>2263242.543326477</v>
      </c>
      <c r="K133" s="259">
        <v>291105.9193635095</v>
      </c>
      <c r="L133" s="259">
        <v>937255.037684517</v>
      </c>
      <c r="M133" s="259">
        <v>1370059.4467568072</v>
      </c>
    </row>
    <row r="134" spans="1:13" s="259" customFormat="1" ht="12">
      <c r="A134" s="123"/>
      <c r="B134" s="305"/>
      <c r="C134" s="103" t="s">
        <v>297</v>
      </c>
      <c r="D134" s="8">
        <v>4264112</v>
      </c>
      <c r="E134" s="19" t="s">
        <v>298</v>
      </c>
      <c r="F134" s="222">
        <v>1285957.8558566158</v>
      </c>
      <c r="G134" s="222">
        <v>23150.512982205517</v>
      </c>
      <c r="H134" s="222">
        <v>908644.450888137</v>
      </c>
      <c r="I134" s="259">
        <f t="shared" si="3"/>
        <v>2217752.8197269584</v>
      </c>
      <c r="K134" s="259">
        <v>1476403.4641111523</v>
      </c>
      <c r="L134" s="259">
        <v>26579.018439224372</v>
      </c>
      <c r="M134" s="259">
        <v>1043211.3376242723</v>
      </c>
    </row>
    <row r="135" spans="1:13" s="259" customFormat="1" ht="12">
      <c r="A135" s="123"/>
      <c r="B135" s="305"/>
      <c r="C135" s="103" t="s">
        <v>299</v>
      </c>
      <c r="D135" s="8">
        <v>426412</v>
      </c>
      <c r="E135" s="19" t="s">
        <v>300</v>
      </c>
      <c r="F135" s="222">
        <v>8909364.584080167</v>
      </c>
      <c r="G135" s="222">
        <v>1320757.6566707205</v>
      </c>
      <c r="H135" s="222">
        <v>3453041.8005121737</v>
      </c>
      <c r="I135" s="259">
        <f t="shared" si="3"/>
        <v>13683164.041263063</v>
      </c>
      <c r="K135" s="259">
        <v>10228808.568693735</v>
      </c>
      <c r="L135" s="259">
        <v>1516356.986878893</v>
      </c>
      <c r="M135" s="259">
        <v>3964424.5359820095</v>
      </c>
    </row>
    <row r="136" spans="1:13" s="259" customFormat="1" ht="12">
      <c r="A136" s="123"/>
      <c r="B136" s="305"/>
      <c r="C136" s="103" t="s">
        <v>301</v>
      </c>
      <c r="D136" s="8">
        <v>426413</v>
      </c>
      <c r="E136" s="19" t="s">
        <v>476</v>
      </c>
      <c r="F136" s="222">
        <v>72279.94181622278</v>
      </c>
      <c r="G136" s="222">
        <v>37259.06110768489</v>
      </c>
      <c r="H136" s="222">
        <v>82871.49418989346</v>
      </c>
      <c r="I136" s="259">
        <f t="shared" si="3"/>
        <v>192410.49711380113</v>
      </c>
      <c r="K136" s="259">
        <v>82984.33420443484</v>
      </c>
      <c r="L136" s="259">
        <v>42776.990426542114</v>
      </c>
      <c r="M136" s="259">
        <v>95144.45636052646</v>
      </c>
    </row>
    <row r="137" spans="1:13" s="259" customFormat="1" ht="12">
      <c r="A137" s="123"/>
      <c r="B137" s="305"/>
      <c r="C137" s="103" t="s">
        <v>303</v>
      </c>
      <c r="D137" s="8">
        <v>4264911</v>
      </c>
      <c r="E137" s="19" t="s">
        <v>304</v>
      </c>
      <c r="F137" s="222">
        <v>406006</v>
      </c>
      <c r="G137" s="222">
        <v>187567</v>
      </c>
      <c r="H137" s="222">
        <v>144309</v>
      </c>
      <c r="I137" s="259">
        <f t="shared" si="3"/>
        <v>737882</v>
      </c>
      <c r="K137" s="259">
        <v>466133.98885503504</v>
      </c>
      <c r="L137" s="259">
        <v>215344.97984653516</v>
      </c>
      <c r="M137" s="259">
        <v>165680.6298371976</v>
      </c>
    </row>
    <row r="138" spans="1:13" s="259" customFormat="1" ht="12">
      <c r="A138" s="123"/>
      <c r="B138" s="305"/>
      <c r="C138" s="103" t="s">
        <v>305</v>
      </c>
      <c r="D138" s="8">
        <v>4264912</v>
      </c>
      <c r="E138" s="19" t="s">
        <v>306</v>
      </c>
      <c r="F138" s="222">
        <v>237822</v>
      </c>
      <c r="G138" s="222">
        <v>13880</v>
      </c>
      <c r="H138" s="222">
        <v>401958</v>
      </c>
      <c r="I138" s="259">
        <f t="shared" si="3"/>
        <v>653660</v>
      </c>
      <c r="K138" s="259">
        <v>273042.5597096648</v>
      </c>
      <c r="L138" s="259">
        <v>15935.576728688458</v>
      </c>
      <c r="M138" s="259">
        <v>461486.49500793626</v>
      </c>
    </row>
    <row r="139" spans="1:13" s="259" customFormat="1" ht="12">
      <c r="A139" s="123"/>
      <c r="B139" s="93"/>
      <c r="C139" s="102" t="s">
        <v>307</v>
      </c>
      <c r="D139" s="11">
        <v>426700</v>
      </c>
      <c r="E139" s="122" t="s">
        <v>308</v>
      </c>
      <c r="F139" s="140">
        <f>+F140+F145+F146+F150</f>
        <v>36316689</v>
      </c>
      <c r="G139" s="140">
        <f>+G140+G145+G146+G150</f>
        <v>7144188.181860547</v>
      </c>
      <c r="H139" s="140">
        <f>+H140+H145+H146+H150</f>
        <v>18514123.174590625</v>
      </c>
      <c r="I139" s="259">
        <f t="shared" si="3"/>
        <v>61975000.35645117</v>
      </c>
      <c r="K139" s="259">
        <v>41695056.49073604</v>
      </c>
      <c r="L139" s="259">
        <v>8202216.061687899</v>
      </c>
      <c r="M139" s="259">
        <v>21255996.42745519</v>
      </c>
    </row>
    <row r="140" spans="1:13" s="259" customFormat="1" ht="12">
      <c r="A140" s="123"/>
      <c r="B140" s="93"/>
      <c r="C140" s="102" t="s">
        <v>309</v>
      </c>
      <c r="D140" s="11">
        <v>426710</v>
      </c>
      <c r="E140" s="19" t="s">
        <v>310</v>
      </c>
      <c r="F140" s="146">
        <f>+F141+F142+F143+F144</f>
        <v>7579279</v>
      </c>
      <c r="G140" s="146">
        <f>+G141+G142+G143+G144</f>
        <v>2192584.7334372085</v>
      </c>
      <c r="H140" s="146">
        <f>+H141+H142+H143+H144</f>
        <v>4574670.586538097</v>
      </c>
      <c r="I140" s="259">
        <f t="shared" si="3"/>
        <v>14346534.319975305</v>
      </c>
      <c r="K140" s="259">
        <v>8594460.659681434</v>
      </c>
      <c r="L140" s="259">
        <v>2517298.433273744</v>
      </c>
      <c r="M140" s="259">
        <v>5252162.402035452</v>
      </c>
    </row>
    <row r="141" spans="1:13" s="259" customFormat="1" ht="12">
      <c r="A141" s="123"/>
      <c r="B141" s="305"/>
      <c r="C141" s="103" t="s">
        <v>311</v>
      </c>
      <c r="D141" s="8">
        <v>426711</v>
      </c>
      <c r="E141" s="19" t="s">
        <v>312</v>
      </c>
      <c r="F141" s="222">
        <f>7109864+93443</f>
        <v>7203307</v>
      </c>
      <c r="G141" s="222">
        <v>2069756.5255094892</v>
      </c>
      <c r="H141" s="222">
        <v>4235856.344451628</v>
      </c>
      <c r="I141" s="259">
        <f t="shared" si="3"/>
        <v>13508919.869961116</v>
      </c>
      <c r="K141" s="259">
        <v>8162808.59528385</v>
      </c>
      <c r="L141" s="259">
        <v>2376279.821466866</v>
      </c>
      <c r="M141" s="259">
        <v>4863171.022241406</v>
      </c>
    </row>
    <row r="142" spans="1:13" s="259" customFormat="1" ht="12">
      <c r="A142" s="123"/>
      <c r="B142" s="305"/>
      <c r="C142" s="103" t="s">
        <v>313</v>
      </c>
      <c r="D142" s="8">
        <v>42671102</v>
      </c>
      <c r="E142" s="19" t="s">
        <v>314</v>
      </c>
      <c r="F142" s="222">
        <v>0</v>
      </c>
      <c r="G142" s="222">
        <v>0</v>
      </c>
      <c r="H142" s="222">
        <v>56789.444994193575</v>
      </c>
      <c r="I142" s="259">
        <f t="shared" si="3"/>
        <v>56789.444994193575</v>
      </c>
      <c r="K142" s="259">
        <v>0</v>
      </c>
      <c r="L142" s="259">
        <v>0</v>
      </c>
      <c r="M142" s="259">
        <v>65199.752023386485</v>
      </c>
    </row>
    <row r="143" spans="1:13" s="259" customFormat="1" ht="12">
      <c r="A143" s="123"/>
      <c r="B143" s="305"/>
      <c r="C143" s="103" t="s">
        <v>315</v>
      </c>
      <c r="D143" s="8">
        <v>42671103</v>
      </c>
      <c r="E143" s="19" t="s">
        <v>316</v>
      </c>
      <c r="F143" s="222">
        <v>347599</v>
      </c>
      <c r="G143" s="222">
        <v>100776.02511136285</v>
      </c>
      <c r="H143" s="222">
        <v>212767.96560907894</v>
      </c>
      <c r="I143" s="259">
        <f t="shared" si="3"/>
        <v>661142.9907204418</v>
      </c>
      <c r="K143" s="259">
        <v>399077.12790456624</v>
      </c>
      <c r="L143" s="259">
        <v>115700.58217394508</v>
      </c>
      <c r="M143" s="259">
        <v>244278.115372509</v>
      </c>
    </row>
    <row r="144" spans="1:13" s="259" customFormat="1" ht="12">
      <c r="A144" s="123"/>
      <c r="B144" s="305"/>
      <c r="C144" s="103" t="s">
        <v>317</v>
      </c>
      <c r="D144" s="8">
        <v>42671105</v>
      </c>
      <c r="E144" s="19" t="s">
        <v>318</v>
      </c>
      <c r="F144" s="222">
        <v>28373</v>
      </c>
      <c r="G144" s="222">
        <v>22052.18281635639</v>
      </c>
      <c r="H144" s="222">
        <v>69256.83148319663</v>
      </c>
      <c r="I144" s="259">
        <f t="shared" si="3"/>
        <v>119682.01429955302</v>
      </c>
      <c r="K144" s="259">
        <v>32574.93649301712</v>
      </c>
      <c r="L144" s="259">
        <v>25318.029632933172</v>
      </c>
      <c r="M144" s="259">
        <v>79513.51239815031</v>
      </c>
    </row>
    <row r="145" spans="1:13" s="259" customFormat="1" ht="12">
      <c r="A145" s="123"/>
      <c r="B145" s="93"/>
      <c r="C145" s="102" t="s">
        <v>321</v>
      </c>
      <c r="D145" s="11">
        <v>426721</v>
      </c>
      <c r="E145" s="122" t="s">
        <v>322</v>
      </c>
      <c r="F145" s="140">
        <v>8120019</v>
      </c>
      <c r="G145" s="140">
        <v>992015.9033171827</v>
      </c>
      <c r="H145" s="140">
        <v>4637563.845212778</v>
      </c>
      <c r="I145" s="259">
        <f t="shared" si="3"/>
        <v>13749598.748529961</v>
      </c>
      <c r="K145" s="259">
        <v>9322563.819373785</v>
      </c>
      <c r="L145" s="259">
        <v>1138929.7941923745</v>
      </c>
      <c r="M145" s="259">
        <v>5324369.919998539</v>
      </c>
    </row>
    <row r="146" spans="1:13" s="259" customFormat="1" ht="12">
      <c r="A146" s="123"/>
      <c r="B146" s="4"/>
      <c r="C146" s="102" t="s">
        <v>323</v>
      </c>
      <c r="D146" s="11">
        <v>426750</v>
      </c>
      <c r="E146" s="122" t="s">
        <v>324</v>
      </c>
      <c r="F146" s="146">
        <f>+F147+F148+F149</f>
        <v>20617391</v>
      </c>
      <c r="G146" s="146">
        <f>+G147+G148+G149</f>
        <v>3780705</v>
      </c>
      <c r="H146" s="146">
        <f>+H147+H148+H149</f>
        <v>8709904</v>
      </c>
      <c r="I146" s="259">
        <f t="shared" si="3"/>
        <v>33108000</v>
      </c>
      <c r="K146" s="259">
        <v>23670750.448549777</v>
      </c>
      <c r="L146" s="259">
        <v>4340613.444959373</v>
      </c>
      <c r="M146" s="259">
        <v>9999808.608898453</v>
      </c>
    </row>
    <row r="147" spans="1:13" s="259" customFormat="1" ht="12">
      <c r="A147" s="123"/>
      <c r="B147" s="306"/>
      <c r="C147" s="103" t="s">
        <v>325</v>
      </c>
      <c r="D147" s="8">
        <v>426751</v>
      </c>
      <c r="E147" s="19" t="s">
        <v>326</v>
      </c>
      <c r="F147" s="222">
        <f>14896910-547336-409402</f>
        <v>13940172</v>
      </c>
      <c r="G147" s="222">
        <f>3880108-133164-100396</f>
        <v>3646548</v>
      </c>
      <c r="H147" s="222">
        <f>6368963-79436+25180-212126</f>
        <v>6102581</v>
      </c>
      <c r="I147" s="259">
        <f t="shared" si="3"/>
        <v>23689301</v>
      </c>
      <c r="K147" s="259">
        <v>16004659.979619198</v>
      </c>
      <c r="L147" s="259">
        <v>4186588.2888217177</v>
      </c>
      <c r="M147" s="259">
        <v>7006350.7037850395</v>
      </c>
    </row>
    <row r="148" spans="1:13" s="259" customFormat="1" ht="12">
      <c r="A148" s="123"/>
      <c r="B148" s="306"/>
      <c r="C148" s="103" t="s">
        <v>327</v>
      </c>
      <c r="D148" s="8">
        <v>42675100</v>
      </c>
      <c r="E148" s="19" t="s">
        <v>477</v>
      </c>
      <c r="F148" s="222">
        <f>794180-79968-200000</f>
        <v>514212</v>
      </c>
      <c r="G148" s="222">
        <f>227378-34221-59000</f>
        <v>134157</v>
      </c>
      <c r="H148" s="222">
        <f>172397-7638-50000</f>
        <v>114759</v>
      </c>
      <c r="I148" s="259">
        <f t="shared" si="3"/>
        <v>763128</v>
      </c>
      <c r="K148" s="259">
        <v>590364.8977530511</v>
      </c>
      <c r="L148" s="259">
        <v>154025.15613765546</v>
      </c>
      <c r="M148" s="259">
        <v>131754.38399189906</v>
      </c>
    </row>
    <row r="149" spans="1:13" s="259" customFormat="1" ht="12">
      <c r="A149" s="123"/>
      <c r="B149" s="109"/>
      <c r="C149" s="103" t="s">
        <v>329</v>
      </c>
      <c r="D149" s="8">
        <v>42675108</v>
      </c>
      <c r="E149" s="19" t="s">
        <v>330</v>
      </c>
      <c r="F149" s="222">
        <v>6163007</v>
      </c>
      <c r="G149" s="261"/>
      <c r="H149" s="222">
        <v>2492564</v>
      </c>
      <c r="I149" s="259">
        <f t="shared" si="3"/>
        <v>8655571</v>
      </c>
      <c r="K149" s="259">
        <v>7075725.571177527</v>
      </c>
      <c r="L149" s="259">
        <v>0</v>
      </c>
      <c r="M149" s="259">
        <v>2861703.5211215145</v>
      </c>
    </row>
    <row r="150" spans="1:13" s="259" customFormat="1" ht="12">
      <c r="A150" s="123"/>
      <c r="B150" s="109"/>
      <c r="C150" s="102" t="s">
        <v>333</v>
      </c>
      <c r="D150" s="11">
        <v>426790</v>
      </c>
      <c r="E150" s="122" t="s">
        <v>334</v>
      </c>
      <c r="F150" s="140">
        <f>+F151+F152+F153</f>
        <v>0</v>
      </c>
      <c r="G150" s="146">
        <f>+G151+G153</f>
        <v>178882.54510615463</v>
      </c>
      <c r="H150" s="146">
        <f>+H151+H152+H153</f>
        <v>591984.7428397505</v>
      </c>
      <c r="I150" s="259">
        <f t="shared" si="3"/>
        <v>770867.2879459051</v>
      </c>
      <c r="K150" s="259">
        <v>107281.56313104003</v>
      </c>
      <c r="L150" s="259">
        <v>205374.38926240645</v>
      </c>
      <c r="M150" s="259">
        <v>679655.4965227486</v>
      </c>
    </row>
    <row r="151" spans="1:13" s="259" customFormat="1" ht="12">
      <c r="A151" s="123"/>
      <c r="B151" s="109"/>
      <c r="C151" s="103" t="s">
        <v>478</v>
      </c>
      <c r="D151" s="8">
        <v>42679101</v>
      </c>
      <c r="E151" s="19" t="s">
        <v>492</v>
      </c>
      <c r="F151" s="222"/>
      <c r="G151" s="222"/>
      <c r="H151" s="222"/>
      <c r="I151" s="259">
        <f t="shared" si="3"/>
        <v>0</v>
      </c>
      <c r="K151" s="259">
        <v>0</v>
      </c>
      <c r="L151" s="259">
        <v>0</v>
      </c>
      <c r="M151" s="259">
        <v>0</v>
      </c>
    </row>
    <row r="152" spans="1:13" s="259" customFormat="1" ht="12">
      <c r="A152" s="123"/>
      <c r="B152" s="109"/>
      <c r="C152" s="103"/>
      <c r="D152" s="8">
        <v>42679103</v>
      </c>
      <c r="E152" s="19" t="s">
        <v>493</v>
      </c>
      <c r="F152" s="222"/>
      <c r="G152" s="222"/>
      <c r="H152" s="264"/>
      <c r="I152" s="259">
        <f t="shared" si="3"/>
        <v>0</v>
      </c>
      <c r="K152" s="259">
        <v>0</v>
      </c>
      <c r="L152" s="259">
        <v>0</v>
      </c>
      <c r="M152" s="259">
        <v>0</v>
      </c>
    </row>
    <row r="153" spans="1:13" s="259" customFormat="1" ht="12">
      <c r="A153" s="123"/>
      <c r="B153" s="109"/>
      <c r="C153" s="103" t="s">
        <v>336</v>
      </c>
      <c r="D153" s="8">
        <v>42679104</v>
      </c>
      <c r="E153" s="19" t="s">
        <v>337</v>
      </c>
      <c r="F153" s="222"/>
      <c r="G153" s="222">
        <v>178882.54510615463</v>
      </c>
      <c r="H153" s="222">
        <v>591984.7428397505</v>
      </c>
      <c r="I153" s="259">
        <f t="shared" si="3"/>
        <v>770867.2879459051</v>
      </c>
      <c r="K153" s="259">
        <v>107281.56313104003</v>
      </c>
      <c r="L153" s="259">
        <v>205374.38926240645</v>
      </c>
      <c r="M153" s="259">
        <v>679655.4965227486</v>
      </c>
    </row>
    <row r="154" spans="1:13" s="259" customFormat="1" ht="12">
      <c r="A154" s="123"/>
      <c r="B154" s="93"/>
      <c r="C154" s="102" t="s">
        <v>340</v>
      </c>
      <c r="D154" s="11">
        <v>426800</v>
      </c>
      <c r="E154" s="122" t="s">
        <v>341</v>
      </c>
      <c r="F154" s="140">
        <f>+F155+F157+F160+F159+F158+F156+F161</f>
        <v>1035809</v>
      </c>
      <c r="G154" s="140">
        <f>+G155+G157+G160+G159+G158+G156</f>
        <v>663460</v>
      </c>
      <c r="H154" s="140">
        <f>+H155+H157+H160+H159+H158+H156</f>
        <v>327252</v>
      </c>
      <c r="I154" s="259">
        <f t="shared" si="3"/>
        <v>2026521</v>
      </c>
      <c r="K154" s="259">
        <v>1189208.4867266617</v>
      </c>
      <c r="L154" s="259">
        <v>761715.9752460839</v>
      </c>
      <c r="M154" s="259">
        <v>375716.8123643196</v>
      </c>
    </row>
    <row r="155" spans="1:13" s="259" customFormat="1" ht="12">
      <c r="A155" s="123"/>
      <c r="B155" s="305"/>
      <c r="C155" s="103" t="s">
        <v>342</v>
      </c>
      <c r="D155" s="8">
        <v>426811</v>
      </c>
      <c r="E155" s="19" t="s">
        <v>343</v>
      </c>
      <c r="F155" s="222">
        <f>1022019-97747</f>
        <v>924272</v>
      </c>
      <c r="G155" s="222">
        <f>365363-3257</f>
        <v>362106</v>
      </c>
      <c r="H155" s="222">
        <v>3094</v>
      </c>
      <c r="I155" s="259">
        <f t="shared" si="3"/>
        <v>1289472</v>
      </c>
      <c r="K155" s="259">
        <v>1061153.2690330215</v>
      </c>
      <c r="L155" s="259">
        <v>415732.5610171803</v>
      </c>
      <c r="M155" s="259">
        <v>3552.2099710779607</v>
      </c>
    </row>
    <row r="156" spans="1:13" s="259" customFormat="1" ht="12">
      <c r="A156" s="123"/>
      <c r="B156" s="305"/>
      <c r="C156" s="103" t="s">
        <v>344</v>
      </c>
      <c r="D156" s="8">
        <v>42681101</v>
      </c>
      <c r="E156" s="19" t="s">
        <v>345</v>
      </c>
      <c r="F156" s="222"/>
      <c r="G156" s="222">
        <v>0</v>
      </c>
      <c r="H156" s="222"/>
      <c r="I156" s="259">
        <f t="shared" si="3"/>
        <v>0</v>
      </c>
      <c r="K156" s="259">
        <v>0</v>
      </c>
      <c r="L156" s="259">
        <v>0</v>
      </c>
      <c r="M156" s="259">
        <v>0</v>
      </c>
    </row>
    <row r="157" spans="1:13" s="259" customFormat="1" ht="12">
      <c r="A157" s="123"/>
      <c r="B157" s="305"/>
      <c r="C157" s="103" t="s">
        <v>346</v>
      </c>
      <c r="D157" s="8">
        <v>426823</v>
      </c>
      <c r="E157" s="19" t="s">
        <v>347</v>
      </c>
      <c r="F157" s="222">
        <v>0</v>
      </c>
      <c r="G157" s="222">
        <v>125222</v>
      </c>
      <c r="H157" s="222">
        <v>263421</v>
      </c>
      <c r="I157" s="259">
        <f t="shared" si="3"/>
        <v>388643</v>
      </c>
      <c r="K157" s="259">
        <v>0</v>
      </c>
      <c r="L157" s="259">
        <v>143766.91564263878</v>
      </c>
      <c r="M157" s="259">
        <v>302432.6770495564</v>
      </c>
    </row>
    <row r="158" spans="1:13" s="259" customFormat="1" ht="12">
      <c r="A158" s="123"/>
      <c r="B158" s="305"/>
      <c r="C158" s="103" t="s">
        <v>348</v>
      </c>
      <c r="D158" s="8">
        <v>42682301</v>
      </c>
      <c r="E158" s="19" t="s">
        <v>349</v>
      </c>
      <c r="F158" s="222"/>
      <c r="G158" s="222">
        <v>173970</v>
      </c>
      <c r="H158" s="222">
        <v>47227</v>
      </c>
      <c r="I158" s="259">
        <f t="shared" si="3"/>
        <v>221197</v>
      </c>
      <c r="K158" s="259">
        <v>0</v>
      </c>
      <c r="L158" s="259">
        <v>199734.31437247343</v>
      </c>
      <c r="M158" s="259">
        <v>54221.14424825431</v>
      </c>
    </row>
    <row r="159" spans="1:13" s="259" customFormat="1" ht="12">
      <c r="A159" s="123"/>
      <c r="B159" s="305"/>
      <c r="C159" s="103" t="s">
        <v>350</v>
      </c>
      <c r="D159" s="8">
        <v>4268292</v>
      </c>
      <c r="E159" s="19" t="s">
        <v>351</v>
      </c>
      <c r="F159" s="222">
        <v>3610</v>
      </c>
      <c r="G159" s="222">
        <v>682</v>
      </c>
      <c r="H159" s="222">
        <v>4272</v>
      </c>
      <c r="I159" s="259">
        <f aca="true" t="shared" si="4" ref="I159:I190">+F159+G159+H159</f>
        <v>8564</v>
      </c>
      <c r="K159" s="259">
        <v>4144.627665026321</v>
      </c>
      <c r="L159" s="259">
        <v>783.0016807612053</v>
      </c>
      <c r="M159" s="259">
        <v>4904.667419665497</v>
      </c>
    </row>
    <row r="160" spans="1:13" s="259" customFormat="1" ht="12">
      <c r="A160" s="123"/>
      <c r="B160" s="305"/>
      <c r="C160" s="103" t="s">
        <v>352</v>
      </c>
      <c r="D160" s="8">
        <v>426829</v>
      </c>
      <c r="E160" s="19" t="s">
        <v>479</v>
      </c>
      <c r="F160" s="222">
        <v>74777</v>
      </c>
      <c r="G160" s="222">
        <v>1480</v>
      </c>
      <c r="H160" s="222">
        <v>9238</v>
      </c>
      <c r="I160" s="259">
        <f t="shared" si="4"/>
        <v>85495</v>
      </c>
      <c r="K160" s="259">
        <v>85851.19748134993</v>
      </c>
      <c r="L160" s="259">
        <v>1699.1825330301815</v>
      </c>
      <c r="M160" s="259">
        <v>10606.113675765417</v>
      </c>
    </row>
    <row r="161" spans="1:13" s="259" customFormat="1" ht="12">
      <c r="A161" s="123"/>
      <c r="B161" s="109"/>
      <c r="C161" s="103"/>
      <c r="D161" s="8">
        <v>4268291</v>
      </c>
      <c r="E161" s="19" t="s">
        <v>286</v>
      </c>
      <c r="F161" s="222">
        <v>33150</v>
      </c>
      <c r="G161" s="222"/>
      <c r="H161" s="222"/>
      <c r="I161" s="259">
        <f t="shared" si="4"/>
        <v>33150</v>
      </c>
      <c r="K161" s="259">
        <v>38059.392547263866</v>
      </c>
      <c r="L161" s="259">
        <v>0</v>
      </c>
      <c r="M161" s="259">
        <v>0</v>
      </c>
    </row>
    <row r="162" spans="1:13" s="259" customFormat="1" ht="12">
      <c r="A162" s="123"/>
      <c r="B162" s="4"/>
      <c r="C162" s="102" t="s">
        <v>355</v>
      </c>
      <c r="D162" s="11">
        <v>426900</v>
      </c>
      <c r="E162" s="122" t="s">
        <v>356</v>
      </c>
      <c r="F162" s="140">
        <f>+F163+F165+F166+F167+F164</f>
        <v>652684</v>
      </c>
      <c r="G162" s="140">
        <f>+G163+G165+G166+G167+G164</f>
        <v>255022</v>
      </c>
      <c r="H162" s="140">
        <f>+H163+H165+H166+H167+H164</f>
        <v>265849</v>
      </c>
      <c r="I162" s="259">
        <f t="shared" si="4"/>
        <v>1173555</v>
      </c>
      <c r="K162" s="259">
        <v>749344.0894515344</v>
      </c>
      <c r="L162" s="259">
        <v>292789.8161746101</v>
      </c>
      <c r="M162" s="259">
        <v>305220.25488077075</v>
      </c>
    </row>
    <row r="163" spans="1:13" s="259" customFormat="1" ht="12">
      <c r="A163" s="123"/>
      <c r="B163" s="306"/>
      <c r="C163" s="103" t="s">
        <v>357</v>
      </c>
      <c r="D163" s="8">
        <v>426911</v>
      </c>
      <c r="E163" s="19" t="s">
        <v>358</v>
      </c>
      <c r="F163" s="222">
        <v>810</v>
      </c>
      <c r="G163" s="222"/>
      <c r="H163" s="222">
        <v>150</v>
      </c>
      <c r="I163" s="259">
        <f t="shared" si="4"/>
        <v>960</v>
      </c>
      <c r="K163" s="259">
        <v>929.958007942194</v>
      </c>
      <c r="L163" s="259">
        <v>0</v>
      </c>
      <c r="M163" s="259">
        <v>172.2144459152211</v>
      </c>
    </row>
    <row r="164" spans="1:13" s="259" customFormat="1" ht="12">
      <c r="A164" s="123"/>
      <c r="B164" s="306"/>
      <c r="C164" s="103" t="s">
        <v>359</v>
      </c>
      <c r="D164" s="8">
        <v>426912</v>
      </c>
      <c r="E164" s="19" t="s">
        <v>360</v>
      </c>
      <c r="F164" s="222">
        <f>18687-14138</f>
        <v>4549</v>
      </c>
      <c r="G164" s="222">
        <v>10109</v>
      </c>
      <c r="H164" s="222">
        <v>5299</v>
      </c>
      <c r="I164" s="259">
        <f t="shared" si="4"/>
        <v>19957</v>
      </c>
      <c r="K164" s="259">
        <v>5222.690096455605</v>
      </c>
      <c r="L164" s="259">
        <v>11606.1055583798</v>
      </c>
      <c r="M164" s="259">
        <v>6083.7623260317105</v>
      </c>
    </row>
    <row r="165" spans="1:13" s="259" customFormat="1" ht="12">
      <c r="A165" s="123"/>
      <c r="B165" s="306"/>
      <c r="C165" s="103" t="s">
        <v>361</v>
      </c>
      <c r="D165" s="8">
        <v>4269121</v>
      </c>
      <c r="E165" s="19" t="s">
        <v>362</v>
      </c>
      <c r="F165" s="222">
        <v>4549</v>
      </c>
      <c r="G165" s="222">
        <v>12430</v>
      </c>
      <c r="H165" s="222">
        <v>12578</v>
      </c>
      <c r="I165" s="259">
        <f t="shared" si="4"/>
        <v>29557</v>
      </c>
      <c r="K165" s="259">
        <v>5222.690096455605</v>
      </c>
      <c r="L165" s="259">
        <v>14270.837084841321</v>
      </c>
      <c r="M165" s="259">
        <v>14440.75533814434</v>
      </c>
    </row>
    <row r="166" spans="1:13" s="259" customFormat="1" ht="12">
      <c r="A166" s="123"/>
      <c r="B166" s="306"/>
      <c r="C166" s="103" t="s">
        <v>363</v>
      </c>
      <c r="D166" s="8">
        <v>4269122</v>
      </c>
      <c r="E166" s="19" t="s">
        <v>364</v>
      </c>
      <c r="F166" s="222">
        <v>11001</v>
      </c>
      <c r="G166" s="222">
        <v>14904</v>
      </c>
      <c r="H166" s="222">
        <v>33408</v>
      </c>
      <c r="I166" s="259">
        <f t="shared" si="4"/>
        <v>59313</v>
      </c>
      <c r="K166" s="259">
        <v>12630.207463422315</v>
      </c>
      <c r="L166" s="259">
        <v>17111.22734613637</v>
      </c>
      <c r="M166" s="259">
        <v>38355.601394238045</v>
      </c>
    </row>
    <row r="167" spans="1:13" s="259" customFormat="1" ht="12">
      <c r="A167" s="123"/>
      <c r="B167" s="306"/>
      <c r="C167" s="102" t="s">
        <v>365</v>
      </c>
      <c r="D167" s="11">
        <v>426919</v>
      </c>
      <c r="E167" s="122" t="s">
        <v>480</v>
      </c>
      <c r="F167" s="140">
        <f>+F168+F169+F170+F171+F172+F173</f>
        <v>631775</v>
      </c>
      <c r="G167" s="140">
        <f>+G168+G169+G170+G171+G172+G173</f>
        <v>217579</v>
      </c>
      <c r="H167" s="140">
        <f>+H168+H169+H170+H171+H172+H173</f>
        <v>214414</v>
      </c>
      <c r="I167" s="259">
        <f t="shared" si="4"/>
        <v>1063768</v>
      </c>
      <c r="K167" s="259">
        <v>725338.5437872587</v>
      </c>
      <c r="L167" s="259">
        <v>249801.6461852526</v>
      </c>
      <c r="M167" s="259">
        <v>246167.92137644146</v>
      </c>
    </row>
    <row r="168" spans="1:13" s="259" customFormat="1" ht="12">
      <c r="A168" s="123"/>
      <c r="B168" s="306"/>
      <c r="C168" s="103" t="s">
        <v>366</v>
      </c>
      <c r="D168" s="8">
        <v>4269191</v>
      </c>
      <c r="E168" s="19" t="s">
        <v>367</v>
      </c>
      <c r="F168" s="222">
        <f>108944-8601</f>
        <v>100343</v>
      </c>
      <c r="G168" s="222">
        <f>67707-1114</f>
        <v>66593</v>
      </c>
      <c r="H168" s="222">
        <v>24925</v>
      </c>
      <c r="I168" s="259">
        <f t="shared" si="4"/>
        <v>191861</v>
      </c>
      <c r="K168" s="259">
        <v>115203.42764314021</v>
      </c>
      <c r="L168" s="259">
        <v>76455.17731221546</v>
      </c>
      <c r="M168" s="259">
        <v>28616.30042957924</v>
      </c>
    </row>
    <row r="169" spans="1:13" s="259" customFormat="1" ht="12">
      <c r="A169" s="123"/>
      <c r="B169" s="306"/>
      <c r="C169" s="103" t="s">
        <v>368</v>
      </c>
      <c r="D169" s="8">
        <v>4269193</v>
      </c>
      <c r="E169" s="19" t="s">
        <v>369</v>
      </c>
      <c r="F169" s="222">
        <f>318719-5373</f>
        <v>313346</v>
      </c>
      <c r="G169" s="222">
        <f>47597-3485</f>
        <v>44112</v>
      </c>
      <c r="H169" s="222">
        <v>59411</v>
      </c>
      <c r="I169" s="259">
        <f t="shared" si="4"/>
        <v>416869</v>
      </c>
      <c r="K169" s="259">
        <v>359751.3851316725</v>
      </c>
      <c r="L169" s="259">
        <v>50644.82425474822</v>
      </c>
      <c r="M169" s="259">
        <v>68209.54964179467</v>
      </c>
    </row>
    <row r="170" spans="1:13" s="259" customFormat="1" ht="12">
      <c r="A170" s="123"/>
      <c r="B170" s="306"/>
      <c r="C170" s="103" t="s">
        <v>370</v>
      </c>
      <c r="D170" s="8">
        <v>4269194</v>
      </c>
      <c r="E170" s="19" t="s">
        <v>371</v>
      </c>
      <c r="F170" s="222">
        <f>97219-2942</f>
        <v>94277</v>
      </c>
      <c r="G170" s="222">
        <f>58503-1070</f>
        <v>57433</v>
      </c>
      <c r="H170" s="222">
        <v>95543</v>
      </c>
      <c r="I170" s="259">
        <f t="shared" si="4"/>
        <v>247253</v>
      </c>
      <c r="K170" s="259">
        <v>108239.07545032866</v>
      </c>
      <c r="L170" s="259">
        <v>65938.61514832596</v>
      </c>
      <c r="M170" s="259">
        <v>109692.56537385313</v>
      </c>
    </row>
    <row r="171" spans="1:13" s="259" customFormat="1" ht="12">
      <c r="A171" s="123"/>
      <c r="B171" s="306"/>
      <c r="C171" s="103" t="s">
        <v>372</v>
      </c>
      <c r="D171" s="8">
        <v>4269195</v>
      </c>
      <c r="E171" s="19" t="s">
        <v>373</v>
      </c>
      <c r="F171" s="222">
        <v>46385</v>
      </c>
      <c r="G171" s="222">
        <v>10726</v>
      </c>
      <c r="H171" s="222">
        <v>4739</v>
      </c>
      <c r="I171" s="259">
        <f t="shared" si="4"/>
        <v>61850</v>
      </c>
      <c r="K171" s="259">
        <v>53254.44715851687</v>
      </c>
      <c r="L171" s="259">
        <v>12314.48097924441</v>
      </c>
      <c r="M171" s="259">
        <v>5440.828394614885</v>
      </c>
    </row>
    <row r="172" spans="1:13" s="259" customFormat="1" ht="12">
      <c r="A172" s="123"/>
      <c r="B172" s="306"/>
      <c r="C172" s="103" t="s">
        <v>374</v>
      </c>
      <c r="D172" s="8">
        <v>4269196</v>
      </c>
      <c r="E172" s="19" t="s">
        <v>375</v>
      </c>
      <c r="F172" s="222">
        <f>75474-4786</f>
        <v>70688</v>
      </c>
      <c r="G172" s="222">
        <v>29261</v>
      </c>
      <c r="H172" s="222">
        <v>19026</v>
      </c>
      <c r="I172" s="259">
        <f t="shared" si="4"/>
        <v>118975</v>
      </c>
      <c r="K172" s="259">
        <v>81156.631685701</v>
      </c>
      <c r="L172" s="259">
        <v>33594.44601283523</v>
      </c>
      <c r="M172" s="259">
        <v>21843.680319886644</v>
      </c>
    </row>
    <row r="173" spans="1:13" s="259" customFormat="1" ht="12">
      <c r="A173" s="123"/>
      <c r="B173" s="306"/>
      <c r="C173" s="103" t="s">
        <v>376</v>
      </c>
      <c r="D173" s="8">
        <v>4269197</v>
      </c>
      <c r="E173" s="19" t="s">
        <v>377</v>
      </c>
      <c r="F173" s="222">
        <f>9343-2607</f>
        <v>6736</v>
      </c>
      <c r="G173" s="222">
        <v>9454</v>
      </c>
      <c r="H173" s="222">
        <v>10770</v>
      </c>
      <c r="I173" s="259">
        <f t="shared" si="4"/>
        <v>26960</v>
      </c>
      <c r="K173" s="259">
        <v>7733.576717899529</v>
      </c>
      <c r="L173" s="259">
        <v>10854.102477883334</v>
      </c>
      <c r="M173" s="259">
        <v>12364.997216712874</v>
      </c>
    </row>
    <row r="174" spans="1:13" s="259" customFormat="1" ht="12" customHeight="1">
      <c r="A174" s="123"/>
      <c r="B174" s="160">
        <v>440000</v>
      </c>
      <c r="C174" s="243"/>
      <c r="D174" s="304" t="s">
        <v>381</v>
      </c>
      <c r="E174" s="304"/>
      <c r="F174" s="244">
        <f>+F175</f>
        <v>35235</v>
      </c>
      <c r="G174" s="244">
        <f>+G175</f>
        <v>50019</v>
      </c>
      <c r="H174" s="244">
        <f>+H175</f>
        <v>292943</v>
      </c>
      <c r="I174" s="259">
        <f t="shared" si="4"/>
        <v>378197</v>
      </c>
      <c r="K174" s="259">
        <v>40453.17334548544</v>
      </c>
      <c r="L174" s="259">
        <v>57426.62913488963</v>
      </c>
      <c r="M174" s="259">
        <v>336326.7761982841</v>
      </c>
    </row>
    <row r="175" spans="1:13" s="259" customFormat="1" ht="12">
      <c r="A175" s="123"/>
      <c r="B175" s="155"/>
      <c r="C175" s="167"/>
      <c r="D175" s="8">
        <v>444211</v>
      </c>
      <c r="E175" s="19" t="s">
        <v>383</v>
      </c>
      <c r="F175" s="222">
        <v>35235</v>
      </c>
      <c r="G175" s="222">
        <v>50019</v>
      </c>
      <c r="H175" s="222">
        <v>292943</v>
      </c>
      <c r="I175" s="259">
        <f t="shared" si="4"/>
        <v>378197</v>
      </c>
      <c r="K175" s="259">
        <v>40453.17334548544</v>
      </c>
      <c r="L175" s="259">
        <v>57426.62913488963</v>
      </c>
      <c r="M175" s="259">
        <v>336326.7761982841</v>
      </c>
    </row>
    <row r="176" spans="1:13" s="259" customFormat="1" ht="12" customHeight="1">
      <c r="A176" s="159" t="s">
        <v>37</v>
      </c>
      <c r="B176" s="160">
        <v>482000</v>
      </c>
      <c r="C176" s="243"/>
      <c r="D176" s="304" t="s">
        <v>388</v>
      </c>
      <c r="E176" s="304"/>
      <c r="F176" s="244">
        <f>+F177+F178+F179</f>
        <v>14652</v>
      </c>
      <c r="G176" s="244">
        <f>+G177+G178+G179</f>
        <v>20680</v>
      </c>
      <c r="H176" s="244">
        <f>+H177+H178+H179</f>
        <v>36000</v>
      </c>
      <c r="I176" s="259">
        <f t="shared" si="4"/>
        <v>71332</v>
      </c>
      <c r="K176" s="259">
        <v>16821.907076998796</v>
      </c>
      <c r="L176" s="259">
        <v>23742.631610178483</v>
      </c>
      <c r="M176" s="259">
        <v>41331.467019653064</v>
      </c>
    </row>
    <row r="177" spans="1:13" s="259" customFormat="1" ht="12">
      <c r="A177" s="54">
        <v>1</v>
      </c>
      <c r="B177" s="102"/>
      <c r="C177" s="103" t="s">
        <v>382</v>
      </c>
      <c r="D177" s="8">
        <v>482131</v>
      </c>
      <c r="E177" s="19" t="s">
        <v>390</v>
      </c>
      <c r="F177" s="230">
        <v>14652</v>
      </c>
      <c r="G177" s="230">
        <v>20680</v>
      </c>
      <c r="H177" s="230">
        <v>36000</v>
      </c>
      <c r="I177" s="259">
        <f t="shared" si="4"/>
        <v>71332</v>
      </c>
      <c r="K177" s="259">
        <v>16821.907076998796</v>
      </c>
      <c r="L177" s="259">
        <v>23742.631610178483</v>
      </c>
      <c r="M177" s="259">
        <v>41331.467019653064</v>
      </c>
    </row>
    <row r="178" spans="1:13" s="259" customFormat="1" ht="12">
      <c r="A178" s="54"/>
      <c r="B178" s="102"/>
      <c r="C178" s="103" t="s">
        <v>481</v>
      </c>
      <c r="D178" s="8">
        <v>482211</v>
      </c>
      <c r="E178" s="19" t="s">
        <v>392</v>
      </c>
      <c r="F178" s="230"/>
      <c r="G178" s="261"/>
      <c r="H178" s="261"/>
      <c r="I178" s="259">
        <f t="shared" si="4"/>
        <v>0</v>
      </c>
      <c r="K178" s="259">
        <v>0</v>
      </c>
      <c r="L178" s="259">
        <v>0</v>
      </c>
      <c r="M178" s="259">
        <v>0</v>
      </c>
    </row>
    <row r="179" spans="1:13" ht="12">
      <c r="A179" s="54"/>
      <c r="B179" s="102"/>
      <c r="C179" s="103" t="s">
        <v>482</v>
      </c>
      <c r="D179" s="8">
        <v>482251</v>
      </c>
      <c r="E179" s="19" t="s">
        <v>394</v>
      </c>
      <c r="F179" s="230"/>
      <c r="G179" s="261"/>
      <c r="H179" s="261"/>
      <c r="I179" s="259">
        <f t="shared" si="4"/>
        <v>0</v>
      </c>
      <c r="K179" s="259">
        <v>0</v>
      </c>
      <c r="L179" s="259">
        <v>0</v>
      </c>
      <c r="M179" s="259">
        <v>0</v>
      </c>
    </row>
    <row r="180" spans="1:13" ht="12" customHeight="1">
      <c r="A180" s="159" t="s">
        <v>483</v>
      </c>
      <c r="B180" s="160">
        <v>483000</v>
      </c>
      <c r="C180" s="243"/>
      <c r="D180" s="304" t="s">
        <v>401</v>
      </c>
      <c r="E180" s="304"/>
      <c r="F180" s="244">
        <f>+F181</f>
        <v>936082</v>
      </c>
      <c r="G180" s="244">
        <f>+G181</f>
        <v>0</v>
      </c>
      <c r="H180" s="244">
        <f>+H181</f>
        <v>316034</v>
      </c>
      <c r="I180" s="259">
        <f t="shared" si="4"/>
        <v>1252116</v>
      </c>
      <c r="K180" s="259">
        <v>1074712.28640808</v>
      </c>
      <c r="L180" s="259">
        <v>0</v>
      </c>
      <c r="M180" s="259">
        <v>362837.46800247324</v>
      </c>
    </row>
    <row r="181" spans="1:13" ht="12">
      <c r="A181" s="54"/>
      <c r="B181" s="102"/>
      <c r="C181" s="248"/>
      <c r="D181" s="8">
        <v>483111</v>
      </c>
      <c r="E181" s="19" t="s">
        <v>484</v>
      </c>
      <c r="F181" s="230">
        <v>936082</v>
      </c>
      <c r="G181" s="261"/>
      <c r="H181" s="265">
        <v>316034</v>
      </c>
      <c r="I181" s="259">
        <f t="shared" si="4"/>
        <v>1252116</v>
      </c>
      <c r="K181" s="259">
        <v>1074712.28640808</v>
      </c>
      <c r="L181" s="259">
        <v>0</v>
      </c>
      <c r="M181" s="259">
        <v>362837.46800247324</v>
      </c>
    </row>
    <row r="182" spans="1:9" ht="12" customHeight="1">
      <c r="A182" s="94" t="s">
        <v>40</v>
      </c>
      <c r="B182" s="168" t="s">
        <v>406</v>
      </c>
      <c r="C182" s="249"/>
      <c r="D182" s="304" t="s">
        <v>408</v>
      </c>
      <c r="E182" s="304"/>
      <c r="F182" s="52"/>
      <c r="G182" s="261"/>
      <c r="H182" s="261"/>
      <c r="I182" s="259">
        <f t="shared" si="4"/>
        <v>0</v>
      </c>
    </row>
    <row r="183" spans="1:9" ht="12">
      <c r="A183" s="175">
        <v>1</v>
      </c>
      <c r="B183" s="176"/>
      <c r="C183" s="177"/>
      <c r="D183" s="252" t="s">
        <v>485</v>
      </c>
      <c r="E183" s="253"/>
      <c r="F183" s="55"/>
      <c r="G183" s="261"/>
      <c r="H183" s="261"/>
      <c r="I183" s="259">
        <f t="shared" si="4"/>
        <v>0</v>
      </c>
    </row>
    <row r="184" spans="1:9" ht="12.75" customHeight="1">
      <c r="A184" s="309" t="s">
        <v>434</v>
      </c>
      <c r="B184" s="309"/>
      <c r="C184" s="309"/>
      <c r="D184" s="309"/>
      <c r="E184" s="309"/>
      <c r="F184" s="132">
        <f>+F182+F180+F176+F174+F46+F31</f>
        <v>450182140.2208928</v>
      </c>
      <c r="G184" s="132">
        <f>+G182+G180+G176+G174+G46+G31</f>
        <v>152588564.51924378</v>
      </c>
      <c r="H184" s="132">
        <f>+H182+H180+H176+H174+H46+H31</f>
        <v>215577926.10431463</v>
      </c>
      <c r="I184" s="259">
        <f t="shared" si="4"/>
        <v>818348630.8444512</v>
      </c>
    </row>
    <row r="185" spans="1:9" ht="12">
      <c r="A185" s="186"/>
      <c r="B185" s="187"/>
      <c r="C185" s="187"/>
      <c r="D185" s="4"/>
      <c r="E185" s="4"/>
      <c r="F185" s="266">
        <f>+F23-F184</f>
        <v>-450182140.2208928</v>
      </c>
      <c r="G185" s="266">
        <f>+G23-G184</f>
        <v>-152588564.51924378</v>
      </c>
      <c r="H185" s="266">
        <f>+H23-H184</f>
        <v>-215577926.10431463</v>
      </c>
      <c r="I185" s="259">
        <f t="shared" si="4"/>
        <v>-818348630.8444512</v>
      </c>
    </row>
    <row r="186" spans="1:7" ht="12">
      <c r="A186" s="186"/>
      <c r="B186" s="187"/>
      <c r="C186" s="187"/>
      <c r="D186" s="4"/>
      <c r="E186" s="4"/>
      <c r="F186" s="266"/>
      <c r="G186" s="266"/>
    </row>
    <row r="187" spans="1:10" ht="12">
      <c r="A187" s="186"/>
      <c r="B187" s="187"/>
      <c r="C187" s="187"/>
      <c r="D187" s="4"/>
      <c r="E187" s="4"/>
      <c r="F187" s="266" t="s">
        <v>486</v>
      </c>
      <c r="G187" s="266" t="s">
        <v>487</v>
      </c>
      <c r="H187" s="266" t="s">
        <v>488</v>
      </c>
      <c r="I187" s="259" t="s">
        <v>489</v>
      </c>
      <c r="J187" s="259" t="s">
        <v>490</v>
      </c>
    </row>
    <row r="188" ht="5.25" customHeight="1">
      <c r="E188" s="4"/>
    </row>
    <row r="189" spans="5:10" ht="13.5">
      <c r="E189" s="189" t="s">
        <v>436</v>
      </c>
      <c r="F189" s="267">
        <f>F32</f>
        <v>361517231</v>
      </c>
      <c r="G189" s="267">
        <f>G32</f>
        <v>121627209.12</v>
      </c>
      <c r="H189" s="267">
        <f>H32</f>
        <v>163808560.36800003</v>
      </c>
      <c r="I189" s="259">
        <f aca="true" t="shared" si="5" ref="I189:I196">+F189+G189+H189</f>
        <v>646953000.488</v>
      </c>
      <c r="J189" s="259">
        <v>646953000</v>
      </c>
    </row>
    <row r="190" spans="5:10" ht="13.5">
      <c r="E190" s="189" t="s">
        <v>437</v>
      </c>
      <c r="F190" s="267">
        <f>+F36+F43</f>
        <v>7854049</v>
      </c>
      <c r="G190" s="267">
        <f>+G36+G43</f>
        <v>6277394</v>
      </c>
      <c r="H190" s="267">
        <f>+H36+H43</f>
        <v>1250557</v>
      </c>
      <c r="I190" s="259">
        <f t="shared" si="5"/>
        <v>15382000</v>
      </c>
      <c r="J190" s="259">
        <v>15382000</v>
      </c>
    </row>
    <row r="191" spans="5:10" ht="13.5">
      <c r="E191" s="189" t="s">
        <v>438</v>
      </c>
      <c r="F191" s="267">
        <f>+F147+F148</f>
        <v>14454384</v>
      </c>
      <c r="G191" s="267">
        <f>+G147+G148</f>
        <v>3780705</v>
      </c>
      <c r="H191" s="267">
        <f>+H147+H148</f>
        <v>6217340</v>
      </c>
      <c r="I191" s="259">
        <f t="shared" si="5"/>
        <v>24452429</v>
      </c>
      <c r="J191" s="316">
        <v>33108000</v>
      </c>
    </row>
    <row r="192" spans="5:10" ht="13.5">
      <c r="E192" s="189" t="s">
        <v>439</v>
      </c>
      <c r="F192" s="267">
        <f>+F149</f>
        <v>6163007</v>
      </c>
      <c r="G192" s="267">
        <f>+G149</f>
        <v>0</v>
      </c>
      <c r="H192" s="267">
        <f>+H149</f>
        <v>2492564</v>
      </c>
      <c r="I192" s="259">
        <f t="shared" si="5"/>
        <v>8655571</v>
      </c>
      <c r="J192" s="316"/>
    </row>
    <row r="193" spans="5:11" ht="13.5">
      <c r="E193" s="189" t="s">
        <v>440</v>
      </c>
      <c r="F193" s="267">
        <f>+F141+F143+F144+F145+F153</f>
        <v>15699298</v>
      </c>
      <c r="G193" s="267">
        <f>+G141+G143+G144+G145+G153</f>
        <v>3363483.1818605457</v>
      </c>
      <c r="H193" s="267">
        <f>+H141+H143+H144+H145+H153+H142</f>
        <v>9804219.174590627</v>
      </c>
      <c r="I193" s="259">
        <f t="shared" si="5"/>
        <v>28867000.35645117</v>
      </c>
      <c r="J193" s="259">
        <v>28867000</v>
      </c>
      <c r="K193" s="259"/>
    </row>
    <row r="194" spans="5:10" ht="13.5">
      <c r="E194" s="189" t="s">
        <v>441</v>
      </c>
      <c r="F194" s="267">
        <f>+F157+F158</f>
        <v>0</v>
      </c>
      <c r="G194" s="267">
        <f>+G157+G158</f>
        <v>299192</v>
      </c>
      <c r="H194" s="267">
        <f>+H157+H158</f>
        <v>310648</v>
      </c>
      <c r="I194" s="259">
        <f t="shared" si="5"/>
        <v>609840</v>
      </c>
      <c r="J194" s="259">
        <v>609840</v>
      </c>
    </row>
    <row r="195" spans="5:10" ht="13.5">
      <c r="E195" s="189" t="s">
        <v>442</v>
      </c>
      <c r="F195" s="267">
        <f>+F51+F133+F134+F135+F136</f>
        <v>21925935.22089279</v>
      </c>
      <c r="G195" s="267">
        <f>+G51+G133+G134+G135+G136</f>
        <v>9986637.217383243</v>
      </c>
      <c r="H195" s="267">
        <f>+H51+H133+H134+H135+H136</f>
        <v>22587427.561723966</v>
      </c>
      <c r="I195" s="259">
        <f t="shared" si="5"/>
        <v>54500000</v>
      </c>
      <c r="J195" s="259">
        <v>54500000</v>
      </c>
    </row>
    <row r="196" spans="5:10" ht="13.5">
      <c r="E196" s="189" t="s">
        <v>443</v>
      </c>
      <c r="F196" s="267">
        <f>+F49+F57+F61+F65+F69+F71+F78+F93+F96+F126+F137+F138+F155+F159+F160+F162+F176+F131+F174+F44+F37+F161+F180</f>
        <v>22568236</v>
      </c>
      <c r="G196" s="267">
        <f>+G49+G57+G61+G65+G69+G71+G78+G93+G96+G126+G137+G138+G155+G159+G160+G162+G176+G131+G174+G44+G37+G161</f>
        <v>7253944</v>
      </c>
      <c r="H196" s="267">
        <f>+H49+H57+H61+H65+H69+H71+H78+H93+H96+H126+H137+H138+H155+H159+H160+H162+H176+H131+H174+H44+H37+H161+H180</f>
        <v>9106610</v>
      </c>
      <c r="I196" s="259">
        <f t="shared" si="5"/>
        <v>38928790</v>
      </c>
      <c r="J196" s="259">
        <v>44694000</v>
      </c>
    </row>
    <row r="197" spans="4:10" ht="13.5">
      <c r="D197" s="268"/>
      <c r="E197" s="267"/>
      <c r="F197" s="267">
        <f>+F189+F190+F191+F193+F195+F196+F192+F194</f>
        <v>450182140.2208928</v>
      </c>
      <c r="G197" s="267">
        <f>+G189+G190+G191+G193+G195+G196+G192+G194</f>
        <v>152588564.51924378</v>
      </c>
      <c r="H197" s="267">
        <f>+H189+H190+H191+H193+H195+H196+H192+H194</f>
        <v>215577926.10431463</v>
      </c>
      <c r="I197" s="267">
        <f>+I189+I190+I191+I193+I195+I196+I192+I194</f>
        <v>818348630.8444512</v>
      </c>
      <c r="J197" s="259">
        <f>SUM(J189:J196)</f>
        <v>824113840</v>
      </c>
    </row>
    <row r="198" spans="5:8" ht="25.5" customHeight="1">
      <c r="E198" s="4"/>
      <c r="F198" s="259"/>
      <c r="G198" s="259"/>
      <c r="H198" s="259"/>
    </row>
    <row r="199" spans="6:10" ht="18" customHeight="1">
      <c r="F199" s="262">
        <f>+F196/I196</f>
        <v>0.5797312477474897</v>
      </c>
      <c r="G199" s="262">
        <f>+G196/I196</f>
        <v>0.18633879963903321</v>
      </c>
      <c r="H199" s="262">
        <f>+H196/I196</f>
        <v>0.23392995261347707</v>
      </c>
      <c r="I199" s="259">
        <v>38928790</v>
      </c>
      <c r="J199" s="269">
        <f>5765210/38928790</f>
        <v>0.148096306101474</v>
      </c>
    </row>
    <row r="200" spans="6:9" ht="12">
      <c r="F200" s="259"/>
      <c r="I200" s="269"/>
    </row>
    <row r="201" spans="6:9" ht="12">
      <c r="F201" s="259">
        <f>+F199*I201</f>
        <v>3342272.386826305</v>
      </c>
      <c r="G201" s="259">
        <f>+G199*I201</f>
        <v>1074282.3110669507</v>
      </c>
      <c r="H201" s="259">
        <f>+H199*I201</f>
        <v>1348655.3021067441</v>
      </c>
      <c r="I201" s="259">
        <v>5765210</v>
      </c>
    </row>
    <row r="202" spans="6:8" ht="12">
      <c r="F202" s="259"/>
      <c r="G202" s="259"/>
      <c r="H202" s="259"/>
    </row>
    <row r="203" spans="6:8" ht="12">
      <c r="F203" s="269">
        <f>+F201/F196</f>
        <v>0.148096306101474</v>
      </c>
      <c r="G203" s="269">
        <f>+G201/G196</f>
        <v>0.148096306101474</v>
      </c>
      <c r="H203" s="269">
        <f>+H201/H196</f>
        <v>0.148096306101474</v>
      </c>
    </row>
    <row r="204" ht="12">
      <c r="F204" s="259"/>
    </row>
  </sheetData>
  <sheetProtection selectLockedCells="1" selectUnlockedCells="1"/>
  <mergeCells count="63">
    <mergeCell ref="J191:J192"/>
    <mergeCell ref="B163:B173"/>
    <mergeCell ref="D174:E174"/>
    <mergeCell ref="D176:E176"/>
    <mergeCell ref="D180:E180"/>
    <mergeCell ref="D182:E182"/>
    <mergeCell ref="A184:E184"/>
    <mergeCell ref="D125:E125"/>
    <mergeCell ref="B127:B130"/>
    <mergeCell ref="B133:B138"/>
    <mergeCell ref="B141:B144"/>
    <mergeCell ref="B147:B148"/>
    <mergeCell ref="B155:B160"/>
    <mergeCell ref="D92:E92"/>
    <mergeCell ref="B94:B95"/>
    <mergeCell ref="D96:E96"/>
    <mergeCell ref="B98:B107"/>
    <mergeCell ref="B110:B113"/>
    <mergeCell ref="B115:B121"/>
    <mergeCell ref="D71:E71"/>
    <mergeCell ref="B73:B76"/>
    <mergeCell ref="D78:E78"/>
    <mergeCell ref="B81:B82"/>
    <mergeCell ref="B84:B85"/>
    <mergeCell ref="B87:B88"/>
    <mergeCell ref="D47:E47"/>
    <mergeCell ref="B49:B50"/>
    <mergeCell ref="B52:B55"/>
    <mergeCell ref="B58:B60"/>
    <mergeCell ref="B62:B64"/>
    <mergeCell ref="B66:B68"/>
    <mergeCell ref="D37:E37"/>
    <mergeCell ref="D41:E41"/>
    <mergeCell ref="A42:A43"/>
    <mergeCell ref="B42:B43"/>
    <mergeCell ref="D44:E44"/>
    <mergeCell ref="D46:E46"/>
    <mergeCell ref="A30:E30"/>
    <mergeCell ref="D31:E31"/>
    <mergeCell ref="D32:E32"/>
    <mergeCell ref="A33:A34"/>
    <mergeCell ref="B33:B34"/>
    <mergeCell ref="D35:E35"/>
    <mergeCell ref="D21:E21"/>
    <mergeCell ref="D22:E22"/>
    <mergeCell ref="A23:E23"/>
    <mergeCell ref="A26:A28"/>
    <mergeCell ref="B26:B28"/>
    <mergeCell ref="C26:C28"/>
    <mergeCell ref="D26:D28"/>
    <mergeCell ref="E26:E28"/>
    <mergeCell ref="D13:E13"/>
    <mergeCell ref="A14:A15"/>
    <mergeCell ref="B14:B15"/>
    <mergeCell ref="C14:C15"/>
    <mergeCell ref="D16:E16"/>
    <mergeCell ref="D18:E18"/>
    <mergeCell ref="A7:A9"/>
    <mergeCell ref="B7:B9"/>
    <mergeCell ref="C7:C9"/>
    <mergeCell ref="D7:D9"/>
    <mergeCell ref="E7:E9"/>
    <mergeCell ref="D11:E11"/>
  </mergeCells>
  <dataValidations count="5">
    <dataValidation type="whole" allowBlank="1" showErrorMessage="1" errorTitle="Upozorenje" error="Niste uneli korektnu vrednost!&#10;Ponovite unos." sqref="F21:F22 F149:F153 H149 F184:H184">
      <formula1>0</formula1>
      <formula2>9999999999999</formula2>
    </dataValidation>
    <dataValidation allowBlank="1" showErrorMessage="1" errorTitle="Upozorenje" error="Niste uneli korektnu vrednost!&#10;Ponovite unos." sqref="G46:H46 H47 F125 G139:H139 H147">
      <formula1>0</formula1>
      <formula2>0</formula2>
    </dataValidation>
    <dataValidation type="whole" allowBlank="1" showErrorMessage="1" errorTitle="Upozorenje" error="Niste uneli korektnu vrednost!&#10;Ponovite unos." sqref="F11:F13 F18:F19 F31:H32 F34:H41 F43:H45 F46:F47 G47 F49:H52 F53:G53 F54:F62 H55 G57:H63 F64:H69 F70:F74 G71:H74 F75:H78 F79:F93 H79:H93 G91:H93 F94:H124 G125:H125 F126:H138 F139:F148 G140:H146 G147:G148 H148 G150:H153 F154:H162 F167:H167 F177:H177 F178:F179 F181:F183">
      <formula1>0</formula1>
      <formula2>999999999</formula2>
    </dataValidation>
    <dataValidation type="whole" allowBlank="1" showErrorMessage="1" errorTitle="Upozorenje" error="Niste uneli korektnu vrednost!&#10;Ponovite unos." sqref="F23">
      <formula1>0</formula1>
      <formula2>99999999999999</formula2>
    </dataValidation>
    <dataValidation type="whole" allowBlank="1" showErrorMessage="1" errorTitle="Upozorenje" error="Niste uneli korektnu vrednost!&#10;Ponovite unos." sqref="F33:H33 F163:H166 F168:H173 F175:H175">
      <formula1>0</formula1>
      <formula2>999999999999</formula2>
    </dataValidation>
  </dataValidations>
  <printOptions/>
  <pageMargins left="0.25" right="0.2" top="0.5" bottom="0.5" header="0.5118055555555555" footer="0.5118055555555555"/>
  <pageSetup horizontalDpi="300" verticalDpi="300" orientation="landscape" scale="8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1"/>
  <sheetViews>
    <sheetView zoomScale="80" zoomScaleNormal="80" zoomScalePageLayoutView="0" workbookViewId="0" topLeftCell="A175">
      <selection activeCell="F178" sqref="F178"/>
    </sheetView>
  </sheetViews>
  <sheetFormatPr defaultColWidth="9.140625" defaultRowHeight="15"/>
  <cols>
    <col min="1" max="1" width="3.28125" style="258" customWidth="1"/>
    <col min="2" max="2" width="8.421875" style="258" customWidth="1"/>
    <col min="3" max="4" width="9.140625" style="258" customWidth="1"/>
    <col min="5" max="5" width="55.8515625" style="258" customWidth="1"/>
    <col min="6" max="6" width="13.57421875" style="258" customWidth="1"/>
    <col min="7" max="7" width="12.7109375" style="258" customWidth="1"/>
    <col min="8" max="8" width="13.140625" style="258" customWidth="1"/>
    <col min="9" max="9" width="10.57421875" style="259" customWidth="1"/>
    <col min="10" max="10" width="10.28125" style="259" customWidth="1"/>
    <col min="11" max="11" width="10.28125" style="258" customWidth="1"/>
    <col min="12" max="16384" width="9.140625" style="258" customWidth="1"/>
  </cols>
  <sheetData>
    <row r="1" spans="1:5" ht="18" customHeight="1">
      <c r="A1" s="3" t="s">
        <v>491</v>
      </c>
      <c r="B1" s="4"/>
      <c r="C1" s="4"/>
      <c r="D1" s="4"/>
      <c r="E1" s="4"/>
    </row>
    <row r="2" spans="1:5" ht="12">
      <c r="A2" s="5"/>
      <c r="B2" s="4"/>
      <c r="C2" s="4"/>
      <c r="D2" s="4"/>
      <c r="E2" s="4"/>
    </row>
    <row r="3" spans="1:5" ht="8.25" customHeight="1">
      <c r="A3" s="4"/>
      <c r="B3" s="4"/>
      <c r="C3" s="4"/>
      <c r="D3" s="4"/>
      <c r="E3" s="4"/>
    </row>
    <row r="4" spans="1:5" ht="13.5">
      <c r="A4" s="4"/>
      <c r="B4" s="4"/>
      <c r="C4" s="4"/>
      <c r="D4" s="4"/>
      <c r="E4" s="6" t="s">
        <v>449</v>
      </c>
    </row>
    <row r="5" spans="1:5" ht="7.5" customHeight="1">
      <c r="A5" s="4"/>
      <c r="B5" s="4"/>
      <c r="C5" s="4"/>
      <c r="D5" s="4"/>
      <c r="E5" s="4"/>
    </row>
    <row r="6" spans="1:5" ht="12">
      <c r="A6" s="7" t="s">
        <v>2</v>
      </c>
      <c r="B6" s="4"/>
      <c r="C6" s="4"/>
      <c r="D6" s="4"/>
      <c r="E6" s="4"/>
    </row>
    <row r="7" spans="1:6" ht="12" customHeight="1">
      <c r="A7" s="283" t="s">
        <v>3</v>
      </c>
      <c r="B7" s="284" t="s">
        <v>4</v>
      </c>
      <c r="C7" s="283" t="s">
        <v>5</v>
      </c>
      <c r="D7" s="284" t="s">
        <v>6</v>
      </c>
      <c r="E7" s="284" t="s">
        <v>7</v>
      </c>
      <c r="F7" s="8"/>
    </row>
    <row r="8" spans="1:6" ht="12" customHeight="1">
      <c r="A8" s="283"/>
      <c r="B8" s="284"/>
      <c r="C8" s="283"/>
      <c r="D8" s="284"/>
      <c r="E8" s="284"/>
      <c r="F8" s="8"/>
    </row>
    <row r="9" spans="1:6" ht="12">
      <c r="A9" s="283"/>
      <c r="B9" s="284"/>
      <c r="C9" s="283"/>
      <c r="D9" s="284"/>
      <c r="E9" s="284"/>
      <c r="F9" s="8" t="s">
        <v>15</v>
      </c>
    </row>
    <row r="10" spans="1:6" ht="12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9">
        <v>8</v>
      </c>
    </row>
    <row r="11" spans="1:6" ht="12" customHeight="1">
      <c r="A11" s="10" t="s">
        <v>17</v>
      </c>
      <c r="B11" s="15" t="s">
        <v>456</v>
      </c>
      <c r="C11" s="15"/>
      <c r="D11" s="287" t="s">
        <v>20</v>
      </c>
      <c r="E11" s="287"/>
      <c r="F11" s="132">
        <f>+F13+F18</f>
        <v>0</v>
      </c>
    </row>
    <row r="12" spans="1:6" ht="30.75" customHeight="1">
      <c r="A12" s="10"/>
      <c r="B12" s="15"/>
      <c r="C12" s="18"/>
      <c r="D12" s="8">
        <v>741411</v>
      </c>
      <c r="E12" s="19" t="s">
        <v>21</v>
      </c>
      <c r="F12" s="132"/>
    </row>
    <row r="13" spans="1:6" ht="12" customHeight="1">
      <c r="A13" s="10">
        <v>1</v>
      </c>
      <c r="B13" s="11">
        <v>742000</v>
      </c>
      <c r="C13" s="20"/>
      <c r="D13" s="287" t="s">
        <v>22</v>
      </c>
      <c r="E13" s="287"/>
      <c r="F13" s="132">
        <f>+F14+F15</f>
        <v>0</v>
      </c>
    </row>
    <row r="14" spans="1:6" ht="19.5" customHeight="1">
      <c r="A14" s="288"/>
      <c r="B14" s="284"/>
      <c r="C14" s="284"/>
      <c r="D14" s="8">
        <v>742121</v>
      </c>
      <c r="E14" s="19" t="s">
        <v>24</v>
      </c>
      <c r="F14" s="198"/>
    </row>
    <row r="15" spans="1:6" ht="17.25" customHeight="1">
      <c r="A15" s="288"/>
      <c r="B15" s="284"/>
      <c r="C15" s="284"/>
      <c r="D15" s="22">
        <v>742122</v>
      </c>
      <c r="E15" s="19" t="s">
        <v>26</v>
      </c>
      <c r="F15" s="198"/>
    </row>
    <row r="16" spans="1:6" ht="15" customHeight="1">
      <c r="A16" s="23">
        <v>2</v>
      </c>
      <c r="B16" s="24">
        <v>744000</v>
      </c>
      <c r="C16" s="25"/>
      <c r="D16" s="286" t="s">
        <v>27</v>
      </c>
      <c r="E16" s="286"/>
      <c r="F16" s="198"/>
    </row>
    <row r="17" spans="1:6" ht="20.25" customHeight="1">
      <c r="A17" s="23"/>
      <c r="B17" s="26"/>
      <c r="C17" s="25"/>
      <c r="D17" s="8">
        <v>744121</v>
      </c>
      <c r="E17" s="19" t="s">
        <v>28</v>
      </c>
      <c r="F17" s="198"/>
    </row>
    <row r="18" spans="1:6" ht="12" customHeight="1">
      <c r="A18" s="10">
        <v>3</v>
      </c>
      <c r="B18" s="11">
        <v>745000</v>
      </c>
      <c r="C18" s="20"/>
      <c r="D18" s="287" t="s">
        <v>29</v>
      </c>
      <c r="E18" s="287"/>
      <c r="F18" s="132">
        <f>+F20+F19</f>
        <v>0</v>
      </c>
    </row>
    <row r="19" spans="1:6" ht="12">
      <c r="A19" s="10"/>
      <c r="B19" s="27"/>
      <c r="C19" s="28"/>
      <c r="D19" s="8">
        <v>745122</v>
      </c>
      <c r="E19" s="12" t="s">
        <v>30</v>
      </c>
      <c r="F19" s="132"/>
    </row>
    <row r="20" spans="1:6" ht="17.25" customHeight="1">
      <c r="A20" s="29"/>
      <c r="B20" s="26"/>
      <c r="C20" s="26"/>
      <c r="D20" s="8" t="s">
        <v>31</v>
      </c>
      <c r="E20" s="12" t="s">
        <v>32</v>
      </c>
      <c r="F20" s="198"/>
    </row>
    <row r="21" spans="1:6" ht="12.75" customHeight="1">
      <c r="A21" s="10" t="s">
        <v>33</v>
      </c>
      <c r="B21" s="40" t="s">
        <v>38</v>
      </c>
      <c r="C21" s="40"/>
      <c r="D21" s="287" t="s">
        <v>39</v>
      </c>
      <c r="E21" s="287"/>
      <c r="F21" s="270"/>
    </row>
    <row r="22" spans="1:6" ht="12" customHeight="1">
      <c r="A22" s="10" t="s">
        <v>37</v>
      </c>
      <c r="B22" s="11">
        <v>791111</v>
      </c>
      <c r="C22" s="20"/>
      <c r="D22" s="287" t="s">
        <v>41</v>
      </c>
      <c r="E22" s="287"/>
      <c r="F22" s="205"/>
    </row>
    <row r="23" spans="1:6" ht="12.75" customHeight="1">
      <c r="A23" s="290" t="s">
        <v>457</v>
      </c>
      <c r="B23" s="290"/>
      <c r="C23" s="290"/>
      <c r="D23" s="290"/>
      <c r="E23" s="290"/>
      <c r="F23" s="52">
        <f>+F11+F21+F22</f>
        <v>0</v>
      </c>
    </row>
    <row r="24" ht="6" customHeight="1"/>
    <row r="25" spans="1:8" ht="13.5">
      <c r="A25" s="48" t="s">
        <v>46</v>
      </c>
      <c r="B25" s="49"/>
      <c r="C25" s="49"/>
      <c r="D25" s="4"/>
      <c r="E25" s="4"/>
      <c r="F25" s="258" t="s">
        <v>486</v>
      </c>
      <c r="G25" s="258" t="s">
        <v>487</v>
      </c>
      <c r="H25" s="258" t="s">
        <v>488</v>
      </c>
    </row>
    <row r="26" spans="1:6" ht="12" customHeight="1">
      <c r="A26" s="291" t="s">
        <v>3</v>
      </c>
      <c r="B26" s="292" t="s">
        <v>47</v>
      </c>
      <c r="C26" s="293" t="s">
        <v>5</v>
      </c>
      <c r="D26" s="294" t="s">
        <v>6</v>
      </c>
      <c r="E26" s="284" t="s">
        <v>7</v>
      </c>
      <c r="F26" s="22"/>
    </row>
    <row r="27" spans="1:6" ht="12" customHeight="1">
      <c r="A27" s="291"/>
      <c r="B27" s="292"/>
      <c r="C27" s="293"/>
      <c r="D27" s="294"/>
      <c r="E27" s="284"/>
      <c r="F27" s="36"/>
    </row>
    <row r="28" spans="1:6" ht="12">
      <c r="A28" s="291"/>
      <c r="B28" s="292"/>
      <c r="C28" s="293"/>
      <c r="D28" s="294"/>
      <c r="E28" s="284"/>
      <c r="F28" s="8" t="s">
        <v>15</v>
      </c>
    </row>
    <row r="29" spans="1:6" ht="12">
      <c r="A29" s="9">
        <v>0</v>
      </c>
      <c r="B29" s="9">
        <v>1</v>
      </c>
      <c r="C29" s="9">
        <v>2</v>
      </c>
      <c r="D29" s="9">
        <v>3</v>
      </c>
      <c r="E29" s="9">
        <v>4</v>
      </c>
      <c r="F29" s="9">
        <v>8</v>
      </c>
    </row>
    <row r="30" spans="1:6" ht="12" customHeight="1">
      <c r="A30" s="296" t="s">
        <v>50</v>
      </c>
      <c r="B30" s="296"/>
      <c r="C30" s="296"/>
      <c r="D30" s="296"/>
      <c r="E30" s="296"/>
      <c r="F30" s="261"/>
    </row>
    <row r="31" spans="1:8" ht="12.75" customHeight="1">
      <c r="A31" s="23" t="s">
        <v>17</v>
      </c>
      <c r="B31" s="51">
        <v>410000</v>
      </c>
      <c r="C31" s="51"/>
      <c r="D31" s="313" t="s">
        <v>51</v>
      </c>
      <c r="E31" s="313"/>
      <c r="F31" s="52">
        <f>+F32+F35+F37+F41+F44</f>
        <v>367042247.8272</v>
      </c>
      <c r="G31" s="52">
        <f>+G32+G35+G37+G41+G44</f>
        <v>123052454</v>
      </c>
      <c r="H31" s="52">
        <f>+H32+H35+H37+H41+H44</f>
        <v>172240298</v>
      </c>
    </row>
    <row r="32" spans="1:8" ht="12.75" customHeight="1">
      <c r="A32" s="54">
        <v>1</v>
      </c>
      <c r="B32" s="11">
        <v>411000</v>
      </c>
      <c r="C32" s="20"/>
      <c r="D32" s="287" t="s">
        <v>52</v>
      </c>
      <c r="E32" s="287"/>
      <c r="F32" s="55">
        <f>+F33+F34</f>
        <v>359188198.8272</v>
      </c>
      <c r="G32" s="55">
        <f>+G33+G34</f>
        <v>116775060</v>
      </c>
      <c r="H32" s="55">
        <f>+H33+H34</f>
        <v>170989741</v>
      </c>
    </row>
    <row r="33" spans="1:8" ht="12">
      <c r="A33" s="298"/>
      <c r="B33" s="299"/>
      <c r="C33" s="56" t="s">
        <v>53</v>
      </c>
      <c r="D33" s="8">
        <v>411100</v>
      </c>
      <c r="E33" s="19" t="s">
        <v>458</v>
      </c>
      <c r="F33" s="222">
        <f>305310173-240</f>
        <v>305309933</v>
      </c>
      <c r="G33" s="222">
        <v>99258801</v>
      </c>
      <c r="H33" s="222">
        <v>145341279.85</v>
      </c>
    </row>
    <row r="34" spans="1:8" ht="16.5" customHeight="1">
      <c r="A34" s="298"/>
      <c r="B34" s="299"/>
      <c r="C34" s="56" t="s">
        <v>54</v>
      </c>
      <c r="D34" s="8">
        <v>412000</v>
      </c>
      <c r="E34" s="19" t="s">
        <v>55</v>
      </c>
      <c r="F34" s="216">
        <v>53878265.8272</v>
      </c>
      <c r="G34" s="216">
        <v>17516259</v>
      </c>
      <c r="H34" s="216">
        <v>25648461.15</v>
      </c>
    </row>
    <row r="35" spans="1:8" ht="14.25" customHeight="1">
      <c r="A35" s="54">
        <v>2</v>
      </c>
      <c r="B35" s="11">
        <v>413000</v>
      </c>
      <c r="C35" s="20"/>
      <c r="D35" s="303" t="s">
        <v>60</v>
      </c>
      <c r="E35" s="303"/>
      <c r="F35" s="55">
        <f>+F36</f>
        <v>0</v>
      </c>
      <c r="G35" s="55">
        <f>+G36</f>
        <v>0</v>
      </c>
      <c r="H35" s="55">
        <f>+H36</f>
        <v>0</v>
      </c>
    </row>
    <row r="36" spans="1:8" ht="12.75" customHeight="1">
      <c r="A36" s="56"/>
      <c r="B36" s="4"/>
      <c r="C36" s="56" t="s">
        <v>61</v>
      </c>
      <c r="D36" s="8">
        <v>413151</v>
      </c>
      <c r="E36" s="19" t="s">
        <v>62</v>
      </c>
      <c r="F36" s="222"/>
      <c r="G36" s="222"/>
      <c r="H36" s="222"/>
    </row>
    <row r="37" spans="1:8" ht="12" customHeight="1">
      <c r="A37" s="54">
        <v>3</v>
      </c>
      <c r="B37" s="11">
        <v>414000</v>
      </c>
      <c r="C37" s="20"/>
      <c r="D37" s="303" t="s">
        <v>63</v>
      </c>
      <c r="E37" s="303"/>
      <c r="F37" s="55">
        <f>+F38+F39+F40</f>
        <v>0</v>
      </c>
      <c r="G37" s="55">
        <f>+G38+G39+G40</f>
        <v>0</v>
      </c>
      <c r="H37" s="55">
        <f>+H38+H39+H40</f>
        <v>0</v>
      </c>
    </row>
    <row r="38" spans="1:8" ht="12">
      <c r="A38" s="121"/>
      <c r="B38" s="72"/>
      <c r="C38" s="54" t="s">
        <v>64</v>
      </c>
      <c r="D38" s="8">
        <v>414311</v>
      </c>
      <c r="E38" s="19" t="s">
        <v>65</v>
      </c>
      <c r="F38" s="222"/>
      <c r="G38" s="222"/>
      <c r="H38" s="222"/>
    </row>
    <row r="39" spans="1:8" ht="12">
      <c r="A39" s="123"/>
      <c r="B39" s="75"/>
      <c r="C39" s="54" t="s">
        <v>66</v>
      </c>
      <c r="D39" s="8">
        <v>414314</v>
      </c>
      <c r="E39" s="19" t="s">
        <v>67</v>
      </c>
      <c r="F39" s="222"/>
      <c r="G39" s="222"/>
      <c r="H39" s="222"/>
    </row>
    <row r="40" spans="1:8" ht="22.5" customHeight="1">
      <c r="A40" s="136"/>
      <c r="B40" s="79"/>
      <c r="C40" s="54" t="s">
        <v>68</v>
      </c>
      <c r="D40" s="8">
        <v>414400</v>
      </c>
      <c r="E40" s="227" t="s">
        <v>69</v>
      </c>
      <c r="F40" s="222"/>
      <c r="G40" s="222"/>
      <c r="H40" s="222"/>
    </row>
    <row r="41" spans="1:8" ht="12" customHeight="1">
      <c r="A41" s="54">
        <v>4</v>
      </c>
      <c r="B41" s="11">
        <v>415000</v>
      </c>
      <c r="C41" s="20"/>
      <c r="D41" s="303" t="s">
        <v>73</v>
      </c>
      <c r="E41" s="303"/>
      <c r="F41" s="132">
        <f>+F42+F43</f>
        <v>7854049</v>
      </c>
      <c r="G41" s="132">
        <f>+G42+G43</f>
        <v>6277394</v>
      </c>
      <c r="H41" s="132">
        <f>+H42+H43</f>
        <v>1250557</v>
      </c>
    </row>
    <row r="42" spans="1:8" ht="12">
      <c r="A42" s="314"/>
      <c r="B42" s="299"/>
      <c r="C42" s="81" t="s">
        <v>74</v>
      </c>
      <c r="D42" s="82">
        <v>415111</v>
      </c>
      <c r="E42" s="83" t="s">
        <v>75</v>
      </c>
      <c r="F42" s="93"/>
      <c r="G42" s="93"/>
      <c r="H42" s="93"/>
    </row>
    <row r="43" spans="1:8" ht="12">
      <c r="A43" s="314"/>
      <c r="B43" s="299"/>
      <c r="C43" s="186" t="s">
        <v>76</v>
      </c>
      <c r="D43" s="8">
        <v>415112</v>
      </c>
      <c r="E43" s="19" t="s">
        <v>77</v>
      </c>
      <c r="F43" s="222">
        <v>7854049</v>
      </c>
      <c r="G43" s="222">
        <v>6277394</v>
      </c>
      <c r="H43" s="222">
        <v>1250557</v>
      </c>
    </row>
    <row r="44" spans="1:8" ht="12" customHeight="1">
      <c r="A44" s="54">
        <v>5</v>
      </c>
      <c r="B44" s="11">
        <v>416000</v>
      </c>
      <c r="C44" s="20"/>
      <c r="D44" s="303" t="s">
        <v>80</v>
      </c>
      <c r="E44" s="303"/>
      <c r="F44" s="216"/>
      <c r="G44" s="216"/>
      <c r="H44" s="216"/>
    </row>
    <row r="45" spans="1:8" ht="12">
      <c r="A45" s="54"/>
      <c r="B45" s="92"/>
      <c r="C45" s="56" t="s">
        <v>81</v>
      </c>
      <c r="D45" s="8">
        <v>416111</v>
      </c>
      <c r="E45" s="19" t="s">
        <v>82</v>
      </c>
      <c r="F45" s="230"/>
      <c r="G45" s="230"/>
      <c r="H45" s="230"/>
    </row>
    <row r="46" spans="1:8" ht="12" customHeight="1">
      <c r="A46" s="10" t="s">
        <v>33</v>
      </c>
      <c r="B46" s="94">
        <v>420000</v>
      </c>
      <c r="C46" s="94"/>
      <c r="D46" s="304" t="s">
        <v>85</v>
      </c>
      <c r="E46" s="304"/>
      <c r="F46" s="52">
        <f>+F47+F71+F78+F92+F96+F125</f>
        <v>79187944.16029865</v>
      </c>
      <c r="G46" s="52">
        <f>+G47+G71+G78+G92+G96+G125</f>
        <v>21035466</v>
      </c>
      <c r="H46" s="52">
        <f>+H47+H71+H78+H92+H96+H125</f>
        <v>43146191</v>
      </c>
    </row>
    <row r="47" spans="1:8" ht="12" customHeight="1">
      <c r="A47" s="10">
        <v>1</v>
      </c>
      <c r="B47" s="97">
        <v>421000</v>
      </c>
      <c r="C47" s="98"/>
      <c r="D47" s="303" t="s">
        <v>86</v>
      </c>
      <c r="E47" s="303"/>
      <c r="F47" s="233">
        <f>+F48+F51+F57+F61+F65+F69+F70</f>
        <v>15814783</v>
      </c>
      <c r="G47" s="233">
        <f>+G48+G51+G57+G61+G65+G69+G70</f>
        <v>10223949</v>
      </c>
      <c r="H47" s="233">
        <f>+H48+H51+H57+H61+H65+H69</f>
        <v>19968467</v>
      </c>
    </row>
    <row r="48" spans="1:11" ht="12">
      <c r="A48" s="72"/>
      <c r="B48" s="4"/>
      <c r="C48" s="15" t="s">
        <v>87</v>
      </c>
      <c r="D48" s="11">
        <v>421100</v>
      </c>
      <c r="E48" s="101" t="s">
        <v>88</v>
      </c>
      <c r="F48" s="236">
        <f>+F49+F50</f>
        <v>1051680</v>
      </c>
      <c r="G48" s="236">
        <f>+G49+G50</f>
        <v>333200</v>
      </c>
      <c r="H48" s="236">
        <f>+H49+H50</f>
        <v>496720</v>
      </c>
      <c r="K48" s="262"/>
    </row>
    <row r="49" spans="1:11" ht="12">
      <c r="A49" s="75"/>
      <c r="B49" s="305"/>
      <c r="C49" s="103" t="s">
        <v>89</v>
      </c>
      <c r="D49" s="8">
        <v>421111</v>
      </c>
      <c r="E49" s="19" t="s">
        <v>90</v>
      </c>
      <c r="F49" s="222">
        <v>1051680</v>
      </c>
      <c r="G49" s="230">
        <v>333200</v>
      </c>
      <c r="H49" s="230">
        <v>496720</v>
      </c>
      <c r="K49" s="262"/>
    </row>
    <row r="50" spans="1:11" ht="12">
      <c r="A50" s="79"/>
      <c r="B50" s="305"/>
      <c r="C50" s="103" t="s">
        <v>91</v>
      </c>
      <c r="D50" s="8">
        <v>421121</v>
      </c>
      <c r="E50" s="19" t="s">
        <v>92</v>
      </c>
      <c r="F50" s="230"/>
      <c r="G50" s="230"/>
      <c r="H50" s="230"/>
      <c r="I50" s="262"/>
      <c r="K50" s="262"/>
    </row>
    <row r="51" spans="1:9" ht="12">
      <c r="A51" s="75"/>
      <c r="B51" s="4"/>
      <c r="C51" s="15" t="s">
        <v>93</v>
      </c>
      <c r="D51" s="11">
        <v>421200</v>
      </c>
      <c r="E51" s="104" t="s">
        <v>94</v>
      </c>
      <c r="F51" s="140">
        <f>+F52+F55+F54+F56+F53</f>
        <v>11245896</v>
      </c>
      <c r="G51" s="140">
        <f>+G52+G55+G54+G56+G53</f>
        <v>7680603</v>
      </c>
      <c r="H51" s="140">
        <f>+H52+H55+H54+H56+H53</f>
        <v>16713412</v>
      </c>
      <c r="I51" s="262"/>
    </row>
    <row r="52" spans="1:9" ht="12">
      <c r="A52" s="75"/>
      <c r="B52" s="306"/>
      <c r="C52" s="103" t="s">
        <v>95</v>
      </c>
      <c r="D52" s="8">
        <v>421211</v>
      </c>
      <c r="E52" s="19" t="s">
        <v>96</v>
      </c>
      <c r="F52" s="222">
        <f>3422516+994878+583864+172665</f>
        <v>5173923</v>
      </c>
      <c r="G52" s="222">
        <f>2308947+151489+41588+632956</f>
        <v>3134980</v>
      </c>
      <c r="H52" s="222">
        <f>5749944+1791372+71014+22239</f>
        <v>7634569</v>
      </c>
      <c r="I52" s="262"/>
    </row>
    <row r="53" spans="1:9" ht="12">
      <c r="A53" s="75"/>
      <c r="B53" s="306"/>
      <c r="C53" s="103"/>
      <c r="D53" s="8">
        <v>421222</v>
      </c>
      <c r="E53" s="19" t="s">
        <v>459</v>
      </c>
      <c r="F53" s="222"/>
      <c r="G53" s="222">
        <f>1117766+157785+200073+1417334</f>
        <v>2892958</v>
      </c>
      <c r="H53" s="261"/>
      <c r="I53" s="262"/>
    </row>
    <row r="54" spans="1:9" ht="12">
      <c r="A54" s="75"/>
      <c r="B54" s="306"/>
      <c r="C54" s="103" t="s">
        <v>97</v>
      </c>
      <c r="D54" s="8">
        <v>421221</v>
      </c>
      <c r="E54" s="19" t="s">
        <v>460</v>
      </c>
      <c r="F54" s="222">
        <f>2266087+1437910+275887+176196</f>
        <v>4156080</v>
      </c>
      <c r="G54" s="261"/>
      <c r="H54" s="261"/>
      <c r="I54" s="262"/>
    </row>
    <row r="55" spans="1:8" ht="12">
      <c r="A55" s="75"/>
      <c r="B55" s="306"/>
      <c r="C55" s="103" t="s">
        <v>99</v>
      </c>
      <c r="D55" s="8">
        <v>421224</v>
      </c>
      <c r="E55" s="19" t="s">
        <v>100</v>
      </c>
      <c r="F55" s="222">
        <f>684150+699850</f>
        <v>1384000</v>
      </c>
      <c r="G55" s="263"/>
      <c r="H55" s="222">
        <f>5880302+1997437+735070+466034</f>
        <v>9078843</v>
      </c>
    </row>
    <row r="56" spans="1:8" ht="12">
      <c r="A56" s="75"/>
      <c r="B56" s="109"/>
      <c r="C56" s="103" t="s">
        <v>461</v>
      </c>
      <c r="D56" s="8">
        <v>421225</v>
      </c>
      <c r="E56" s="58" t="s">
        <v>218</v>
      </c>
      <c r="F56" s="222">
        <f>454230+77663</f>
        <v>531893</v>
      </c>
      <c r="G56" s="263">
        <f>1042798+609867</f>
        <v>1652665</v>
      </c>
      <c r="H56" s="261"/>
    </row>
    <row r="57" spans="1:8" ht="12">
      <c r="A57" s="75"/>
      <c r="B57" s="4"/>
      <c r="C57" s="107" t="s">
        <v>101</v>
      </c>
      <c r="D57" s="11">
        <v>421300</v>
      </c>
      <c r="E57" s="101" t="s">
        <v>102</v>
      </c>
      <c r="F57" s="146">
        <f>+F58+F59+F60</f>
        <v>1333294</v>
      </c>
      <c r="G57" s="146">
        <f>+G58+G59+G60</f>
        <v>1181708</v>
      </c>
      <c r="H57" s="146">
        <f>+H58+H59+H60</f>
        <v>1403571</v>
      </c>
    </row>
    <row r="58" spans="1:8" ht="12">
      <c r="A58" s="75"/>
      <c r="B58" s="306"/>
      <c r="C58" s="103" t="s">
        <v>103</v>
      </c>
      <c r="D58" s="8">
        <v>421311</v>
      </c>
      <c r="E58" s="19" t="s">
        <v>104</v>
      </c>
      <c r="F58" s="222">
        <f>729783+134191</f>
        <v>863974</v>
      </c>
      <c r="G58" s="222">
        <f>277254+45803</f>
        <v>323057</v>
      </c>
      <c r="H58" s="222">
        <f>804959+158018</f>
        <v>962977</v>
      </c>
    </row>
    <row r="59" spans="1:8" ht="12">
      <c r="A59" s="75"/>
      <c r="B59" s="306"/>
      <c r="C59" s="103" t="s">
        <v>462</v>
      </c>
      <c r="D59" s="8">
        <v>421324</v>
      </c>
      <c r="E59" s="19" t="s">
        <v>108</v>
      </c>
      <c r="F59" s="222">
        <f>313183+49765</f>
        <v>362948</v>
      </c>
      <c r="G59" s="222">
        <f>619997+113727</f>
        <v>733724</v>
      </c>
      <c r="H59" s="222">
        <f>173457+36905</f>
        <v>210362</v>
      </c>
    </row>
    <row r="60" spans="1:8" ht="12">
      <c r="A60" s="75"/>
      <c r="B60" s="306"/>
      <c r="C60" s="103" t="s">
        <v>107</v>
      </c>
      <c r="D60" s="8">
        <v>421391</v>
      </c>
      <c r="E60" s="19" t="s">
        <v>463</v>
      </c>
      <c r="F60" s="222">
        <f>45975+60397</f>
        <v>106372</v>
      </c>
      <c r="G60" s="222">
        <v>124927</v>
      </c>
      <c r="H60" s="222">
        <v>230232</v>
      </c>
    </row>
    <row r="61" spans="1:8" ht="12">
      <c r="A61" s="75"/>
      <c r="B61" s="4"/>
      <c r="C61" s="107" t="s">
        <v>113</v>
      </c>
      <c r="D61" s="11">
        <v>421400</v>
      </c>
      <c r="E61" s="101" t="s">
        <v>114</v>
      </c>
      <c r="F61" s="146">
        <f>+F62+F63+F64</f>
        <v>909696</v>
      </c>
      <c r="G61" s="146">
        <f>+G62+G63+G64</f>
        <v>387433</v>
      </c>
      <c r="H61" s="146">
        <f>+H62+H63+H64</f>
        <v>391040</v>
      </c>
    </row>
    <row r="62" spans="1:8" ht="12">
      <c r="A62" s="75"/>
      <c r="B62" s="305"/>
      <c r="C62" s="103" t="s">
        <v>115</v>
      </c>
      <c r="D62" s="8">
        <v>421411</v>
      </c>
      <c r="E62" s="19" t="s">
        <v>116</v>
      </c>
      <c r="F62" s="230">
        <f>716124+120758</f>
        <v>836882</v>
      </c>
      <c r="G62" s="230">
        <f>332496+53379</f>
        <v>385875</v>
      </c>
      <c r="H62" s="230">
        <f>311400+59146</f>
        <v>370546</v>
      </c>
    </row>
    <row r="63" spans="1:8" ht="12">
      <c r="A63" s="75"/>
      <c r="B63" s="305"/>
      <c r="C63" s="103" t="s">
        <v>117</v>
      </c>
      <c r="D63" s="8">
        <v>421414</v>
      </c>
      <c r="E63" s="19" t="s">
        <v>118</v>
      </c>
      <c r="F63" s="258">
        <v>0</v>
      </c>
      <c r="G63" s="230">
        <v>0</v>
      </c>
      <c r="H63" s="230">
        <v>0</v>
      </c>
    </row>
    <row r="64" spans="1:8" ht="12">
      <c r="A64" s="79"/>
      <c r="B64" s="305"/>
      <c r="C64" s="103" t="s">
        <v>119</v>
      </c>
      <c r="D64" s="8" t="s">
        <v>464</v>
      </c>
      <c r="E64" s="19" t="s">
        <v>465</v>
      </c>
      <c r="F64" s="230">
        <f>20231+51511+1072</f>
        <v>72814</v>
      </c>
      <c r="G64" s="230">
        <v>1558</v>
      </c>
      <c r="H64" s="230">
        <f>17494+3000</f>
        <v>20494</v>
      </c>
    </row>
    <row r="65" spans="1:8" ht="12">
      <c r="A65" s="75"/>
      <c r="B65" s="4"/>
      <c r="C65" s="107" t="s">
        <v>129</v>
      </c>
      <c r="D65" s="11">
        <v>421500</v>
      </c>
      <c r="E65" s="101" t="s">
        <v>130</v>
      </c>
      <c r="F65" s="146">
        <f>+F66+F67+F68</f>
        <v>963913</v>
      </c>
      <c r="G65" s="146">
        <f>+G66+G67+G68</f>
        <v>573780</v>
      </c>
      <c r="H65" s="146">
        <f>+H66+H67+H68</f>
        <v>870156</v>
      </c>
    </row>
    <row r="66" spans="1:8" ht="12">
      <c r="A66" s="75"/>
      <c r="B66" s="305"/>
      <c r="C66" s="103" t="s">
        <v>131</v>
      </c>
      <c r="D66" s="8">
        <v>421512</v>
      </c>
      <c r="E66" s="19" t="s">
        <v>132</v>
      </c>
      <c r="F66" s="230">
        <v>365041</v>
      </c>
      <c r="G66" s="230">
        <v>212919</v>
      </c>
      <c r="H66" s="230">
        <v>251113</v>
      </c>
    </row>
    <row r="67" spans="1:8" ht="12">
      <c r="A67" s="75"/>
      <c r="B67" s="305"/>
      <c r="C67" s="103" t="s">
        <v>133</v>
      </c>
      <c r="D67" s="8">
        <v>421519</v>
      </c>
      <c r="E67" s="19" t="s">
        <v>134</v>
      </c>
      <c r="F67" s="230">
        <v>427961</v>
      </c>
      <c r="G67" s="230">
        <v>300330</v>
      </c>
      <c r="H67" s="230">
        <v>536461</v>
      </c>
    </row>
    <row r="68" spans="1:8" ht="12">
      <c r="A68" s="75"/>
      <c r="B68" s="305"/>
      <c r="C68" s="103" t="s">
        <v>135</v>
      </c>
      <c r="D68" s="8">
        <v>421521</v>
      </c>
      <c r="E68" s="19" t="s">
        <v>136</v>
      </c>
      <c r="F68" s="230">
        <v>170911</v>
      </c>
      <c r="G68" s="230">
        <v>60531</v>
      </c>
      <c r="H68" s="230">
        <v>82582</v>
      </c>
    </row>
    <row r="69" spans="1:8" ht="12">
      <c r="A69" s="75"/>
      <c r="B69" s="93"/>
      <c r="C69" s="107" t="s">
        <v>139</v>
      </c>
      <c r="D69" s="11">
        <v>421600</v>
      </c>
      <c r="E69" s="101" t="s">
        <v>140</v>
      </c>
      <c r="F69" s="146">
        <v>310304</v>
      </c>
      <c r="G69" s="146">
        <v>67225</v>
      </c>
      <c r="H69" s="146">
        <v>93568</v>
      </c>
    </row>
    <row r="70" spans="1:7" ht="12">
      <c r="A70" s="79"/>
      <c r="B70" s="93"/>
      <c r="C70" s="107" t="s">
        <v>141</v>
      </c>
      <c r="D70" s="11">
        <v>421900</v>
      </c>
      <c r="E70" s="101" t="s">
        <v>143</v>
      </c>
      <c r="F70" s="230"/>
      <c r="G70" s="261"/>
    </row>
    <row r="71" spans="1:8" ht="12" customHeight="1">
      <c r="A71" s="10">
        <v>2</v>
      </c>
      <c r="B71" s="11">
        <v>422000</v>
      </c>
      <c r="C71" s="8"/>
      <c r="D71" s="287" t="s">
        <v>144</v>
      </c>
      <c r="E71" s="287"/>
      <c r="F71" s="132">
        <f>+F72+F77</f>
        <v>766010</v>
      </c>
      <c r="G71" s="132">
        <f>+G72+G77</f>
        <v>91145</v>
      </c>
      <c r="H71" s="132">
        <f>+H72+H77</f>
        <v>212383</v>
      </c>
    </row>
    <row r="72" spans="1:8" ht="12">
      <c r="A72" s="121"/>
      <c r="B72" s="4"/>
      <c r="C72" s="102" t="s">
        <v>145</v>
      </c>
      <c r="D72" s="11">
        <v>422100</v>
      </c>
      <c r="E72" s="122" t="s">
        <v>146</v>
      </c>
      <c r="F72" s="146">
        <f>+F73+F74+F75</f>
        <v>766010</v>
      </c>
      <c r="G72" s="146">
        <f>+G73+G74+G75</f>
        <v>91145</v>
      </c>
      <c r="H72" s="146">
        <f>+H73+H74+H75</f>
        <v>212383</v>
      </c>
    </row>
    <row r="73" spans="1:8" ht="12">
      <c r="A73" s="123"/>
      <c r="B73" s="305"/>
      <c r="C73" s="103" t="s">
        <v>147</v>
      </c>
      <c r="D73" s="8">
        <v>422111</v>
      </c>
      <c r="E73" s="19" t="s">
        <v>466</v>
      </c>
      <c r="F73" s="230">
        <v>693000</v>
      </c>
      <c r="G73" s="222">
        <v>57200</v>
      </c>
      <c r="H73" s="222">
        <v>141350</v>
      </c>
    </row>
    <row r="74" spans="1:8" ht="12">
      <c r="A74" s="123"/>
      <c r="B74" s="305"/>
      <c r="C74" s="103" t="s">
        <v>149</v>
      </c>
      <c r="D74" s="8">
        <v>422121</v>
      </c>
      <c r="E74" s="19" t="s">
        <v>150</v>
      </c>
      <c r="F74" s="230">
        <v>73010</v>
      </c>
      <c r="G74" s="222">
        <v>33945</v>
      </c>
      <c r="H74" s="222">
        <v>70655</v>
      </c>
    </row>
    <row r="75" spans="1:8" ht="12">
      <c r="A75" s="123"/>
      <c r="B75" s="305"/>
      <c r="C75" s="103" t="s">
        <v>151</v>
      </c>
      <c r="D75" s="8" t="s">
        <v>152</v>
      </c>
      <c r="E75" s="19" t="s">
        <v>153</v>
      </c>
      <c r="F75" s="230"/>
      <c r="G75" s="230"/>
      <c r="H75" s="230">
        <v>378</v>
      </c>
    </row>
    <row r="76" spans="1:8" ht="12">
      <c r="A76" s="123"/>
      <c r="B76" s="305"/>
      <c r="C76" s="103" t="s">
        <v>467</v>
      </c>
      <c r="D76" s="8">
        <v>422200</v>
      </c>
      <c r="E76" s="19" t="s">
        <v>155</v>
      </c>
      <c r="F76" s="230"/>
      <c r="G76" s="230"/>
      <c r="H76" s="230"/>
    </row>
    <row r="77" spans="1:8" ht="12">
      <c r="A77" s="136"/>
      <c r="B77" s="4"/>
      <c r="C77" s="102" t="s">
        <v>468</v>
      </c>
      <c r="D77" s="11">
        <v>422300</v>
      </c>
      <c r="E77" s="122" t="s">
        <v>157</v>
      </c>
      <c r="F77" s="146"/>
      <c r="G77" s="146"/>
      <c r="H77" s="146"/>
    </row>
    <row r="78" spans="1:8" ht="16.5" customHeight="1">
      <c r="A78" s="54">
        <v>3</v>
      </c>
      <c r="B78" s="11">
        <v>423000</v>
      </c>
      <c r="C78" s="8"/>
      <c r="D78" s="287" t="s">
        <v>162</v>
      </c>
      <c r="E78" s="287"/>
      <c r="F78" s="132">
        <f>+F79+F80+F83+F86+F89+F90+F91</f>
        <v>3781574</v>
      </c>
      <c r="G78" s="132">
        <v>67953</v>
      </c>
      <c r="H78" s="132">
        <f>+H79+H80+H83+H86+H89+H90+H91</f>
        <v>470450</v>
      </c>
    </row>
    <row r="79" spans="1:8" ht="15.75" customHeight="1">
      <c r="A79" s="121"/>
      <c r="B79" s="93"/>
      <c r="C79" s="102" t="s">
        <v>163</v>
      </c>
      <c r="D79" s="11">
        <v>423100</v>
      </c>
      <c r="E79" s="122" t="s">
        <v>164</v>
      </c>
      <c r="F79" s="146"/>
      <c r="G79" s="261"/>
      <c r="H79" s="146"/>
    </row>
    <row r="80" spans="1:8" ht="15.75" customHeight="1">
      <c r="A80" s="123"/>
      <c r="B80" s="93"/>
      <c r="C80" s="102" t="s">
        <v>167</v>
      </c>
      <c r="D80" s="11">
        <v>423200</v>
      </c>
      <c r="E80" s="122" t="s">
        <v>168</v>
      </c>
      <c r="F80" s="146">
        <f>+F81+F82</f>
        <v>2126681</v>
      </c>
      <c r="G80" s="261"/>
      <c r="H80" s="146">
        <f>+H81+H82</f>
        <v>0</v>
      </c>
    </row>
    <row r="81" spans="1:8" ht="15.75" customHeight="1">
      <c r="A81" s="123"/>
      <c r="B81" s="305"/>
      <c r="C81" s="103" t="s">
        <v>169</v>
      </c>
      <c r="D81" s="8">
        <v>423211</v>
      </c>
      <c r="E81" s="19" t="s">
        <v>469</v>
      </c>
      <c r="F81" s="230"/>
      <c r="G81" s="261"/>
      <c r="H81" s="230"/>
    </row>
    <row r="82" spans="1:8" ht="14.25" customHeight="1">
      <c r="A82" s="123"/>
      <c r="B82" s="305"/>
      <c r="C82" s="103" t="s">
        <v>171</v>
      </c>
      <c r="D82" s="8">
        <v>423221</v>
      </c>
      <c r="E82" s="19" t="s">
        <v>470</v>
      </c>
      <c r="F82" s="230">
        <v>2126681</v>
      </c>
      <c r="G82" s="261"/>
      <c r="H82" s="230"/>
    </row>
    <row r="83" spans="1:8" ht="15" customHeight="1">
      <c r="A83" s="123"/>
      <c r="B83" s="4"/>
      <c r="C83" s="102" t="s">
        <v>175</v>
      </c>
      <c r="D83" s="11">
        <v>423300</v>
      </c>
      <c r="E83" s="122" t="s">
        <v>176</v>
      </c>
      <c r="F83" s="146">
        <f>+F84+F85</f>
        <v>0</v>
      </c>
      <c r="G83" s="261"/>
      <c r="H83" s="146">
        <f>+H84+H85</f>
        <v>24000</v>
      </c>
    </row>
    <row r="84" spans="1:8" ht="12">
      <c r="A84" s="123"/>
      <c r="B84" s="305"/>
      <c r="C84" s="103" t="s">
        <v>177</v>
      </c>
      <c r="D84" s="8">
        <v>423311</v>
      </c>
      <c r="E84" s="19" t="s">
        <v>178</v>
      </c>
      <c r="F84" s="230"/>
      <c r="G84" s="261"/>
      <c r="H84" s="230"/>
    </row>
    <row r="85" spans="1:8" ht="12">
      <c r="A85" s="123"/>
      <c r="B85" s="305"/>
      <c r="C85" s="103" t="s">
        <v>179</v>
      </c>
      <c r="D85" s="8">
        <v>423321</v>
      </c>
      <c r="E85" s="19" t="s">
        <v>180</v>
      </c>
      <c r="F85" s="230"/>
      <c r="G85" s="261"/>
      <c r="H85" s="230">
        <v>24000</v>
      </c>
    </row>
    <row r="86" spans="1:8" ht="15" customHeight="1">
      <c r="A86" s="123"/>
      <c r="B86" s="4"/>
      <c r="C86" s="102" t="s">
        <v>183</v>
      </c>
      <c r="D86" s="11">
        <v>423400</v>
      </c>
      <c r="E86" s="122" t="s">
        <v>184</v>
      </c>
      <c r="F86" s="146">
        <f>+F87+F88</f>
        <v>0</v>
      </c>
      <c r="G86" s="261"/>
      <c r="H86" s="146">
        <f>+H87+H88</f>
        <v>0</v>
      </c>
    </row>
    <row r="87" spans="1:8" ht="12">
      <c r="A87" s="123"/>
      <c r="B87" s="305"/>
      <c r="C87" s="103" t="s">
        <v>185</v>
      </c>
      <c r="D87" s="8">
        <v>423432</v>
      </c>
      <c r="E87" s="19" t="s">
        <v>186</v>
      </c>
      <c r="F87" s="230"/>
      <c r="G87" s="261"/>
      <c r="H87" s="230"/>
    </row>
    <row r="88" spans="1:8" ht="12">
      <c r="A88" s="123"/>
      <c r="B88" s="305"/>
      <c r="C88" s="103" t="s">
        <v>187</v>
      </c>
      <c r="D88" s="8" t="s">
        <v>188</v>
      </c>
      <c r="E88" s="19" t="s">
        <v>189</v>
      </c>
      <c r="F88" s="230"/>
      <c r="G88" s="261"/>
      <c r="H88" s="230"/>
    </row>
    <row r="89" spans="1:8" ht="12">
      <c r="A89" s="123"/>
      <c r="B89" s="93"/>
      <c r="C89" s="102" t="s">
        <v>190</v>
      </c>
      <c r="D89" s="11">
        <v>423599</v>
      </c>
      <c r="E89" s="122" t="s">
        <v>192</v>
      </c>
      <c r="F89" s="146"/>
      <c r="G89" s="261"/>
      <c r="H89" s="146"/>
    </row>
    <row r="90" spans="1:8" ht="12">
      <c r="A90" s="123"/>
      <c r="B90" s="93"/>
      <c r="C90" s="102" t="s">
        <v>191</v>
      </c>
      <c r="D90" s="11">
        <v>423700</v>
      </c>
      <c r="E90" s="122" t="s">
        <v>194</v>
      </c>
      <c r="F90" s="230"/>
      <c r="G90" s="261"/>
      <c r="H90" s="230"/>
    </row>
    <row r="91" spans="1:8" ht="12">
      <c r="A91" s="136"/>
      <c r="B91" s="93"/>
      <c r="C91" s="102" t="s">
        <v>193</v>
      </c>
      <c r="D91" s="11">
        <v>423900</v>
      </c>
      <c r="E91" s="122" t="s">
        <v>196</v>
      </c>
      <c r="F91" s="140">
        <v>1654893</v>
      </c>
      <c r="G91" s="140">
        <v>67953</v>
      </c>
      <c r="H91" s="140">
        <v>446450</v>
      </c>
    </row>
    <row r="92" spans="1:8" ht="16.5" customHeight="1">
      <c r="A92" s="54">
        <v>4</v>
      </c>
      <c r="B92" s="11">
        <v>424000</v>
      </c>
      <c r="C92" s="8"/>
      <c r="D92" s="287" t="s">
        <v>197</v>
      </c>
      <c r="E92" s="287"/>
      <c r="F92" s="132">
        <f>+F93</f>
        <v>137494</v>
      </c>
      <c r="G92" s="132">
        <f>+G93</f>
        <v>223892</v>
      </c>
      <c r="H92" s="132">
        <f>+H93</f>
        <v>206284</v>
      </c>
    </row>
    <row r="93" spans="1:8" ht="12">
      <c r="A93" s="121"/>
      <c r="B93" s="4"/>
      <c r="C93" s="102" t="s">
        <v>198</v>
      </c>
      <c r="D93" s="11">
        <v>424300</v>
      </c>
      <c r="E93" s="122" t="s">
        <v>199</v>
      </c>
      <c r="F93" s="146">
        <f>+F94+F95</f>
        <v>137494</v>
      </c>
      <c r="G93" s="146">
        <f>+G94+G95</f>
        <v>223892</v>
      </c>
      <c r="H93" s="146">
        <f>+H94+H95</f>
        <v>206284</v>
      </c>
    </row>
    <row r="94" spans="1:8" ht="12">
      <c r="A94" s="123"/>
      <c r="B94" s="305"/>
      <c r="C94" s="103" t="s">
        <v>471</v>
      </c>
      <c r="D94" s="8">
        <v>424311</v>
      </c>
      <c r="E94" s="19" t="s">
        <v>472</v>
      </c>
      <c r="F94" s="230"/>
      <c r="G94" s="230"/>
      <c r="H94" s="230"/>
    </row>
    <row r="95" spans="1:8" ht="12">
      <c r="A95" s="136"/>
      <c r="B95" s="305"/>
      <c r="C95" s="103" t="s">
        <v>200</v>
      </c>
      <c r="D95" s="8">
        <v>424331</v>
      </c>
      <c r="E95" s="19" t="s">
        <v>201</v>
      </c>
      <c r="F95" s="230">
        <v>137494</v>
      </c>
      <c r="G95" s="230">
        <v>223892</v>
      </c>
      <c r="H95" s="230">
        <v>206284</v>
      </c>
    </row>
    <row r="96" spans="1:8" ht="15.75" customHeight="1">
      <c r="A96" s="54">
        <v>5</v>
      </c>
      <c r="B96" s="11">
        <v>425000</v>
      </c>
      <c r="C96" s="20"/>
      <c r="D96" s="287" t="s">
        <v>204</v>
      </c>
      <c r="E96" s="287"/>
      <c r="F96" s="132">
        <f>F97+F108</f>
        <v>6633533</v>
      </c>
      <c r="G96" s="132">
        <f>G97+G108</f>
        <v>2685375</v>
      </c>
      <c r="H96" s="132">
        <f>H97+H108</f>
        <v>2540499</v>
      </c>
    </row>
    <row r="97" spans="1:8" ht="15.75" customHeight="1">
      <c r="A97" s="121"/>
      <c r="B97" s="241"/>
      <c r="C97" s="102" t="s">
        <v>205</v>
      </c>
      <c r="D97" s="11">
        <v>425100</v>
      </c>
      <c r="E97" s="122" t="s">
        <v>206</v>
      </c>
      <c r="F97" s="140">
        <f>+F98+F99+F100+F101+F102+F103+F104+F106+F107+F105</f>
        <v>2439581</v>
      </c>
      <c r="G97" s="140">
        <f>+G98+G99+G100+G101+G102+G103+G104+G106+G107</f>
        <v>1436792</v>
      </c>
      <c r="H97" s="140">
        <f>+H98+H99+H100+H101+H102+H103+H104+H106+H107</f>
        <v>1470077</v>
      </c>
    </row>
    <row r="98" spans="1:8" ht="12">
      <c r="A98" s="123"/>
      <c r="B98" s="299"/>
      <c r="C98" s="103" t="s">
        <v>207</v>
      </c>
      <c r="D98" s="8">
        <v>425111</v>
      </c>
      <c r="E98" s="19" t="s">
        <v>208</v>
      </c>
      <c r="F98" s="222"/>
      <c r="G98" s="222"/>
      <c r="H98" s="222"/>
    </row>
    <row r="99" spans="1:8" ht="12">
      <c r="A99" s="123"/>
      <c r="B99" s="299"/>
      <c r="C99" s="103" t="s">
        <v>209</v>
      </c>
      <c r="D99" s="8">
        <v>425112</v>
      </c>
      <c r="E99" s="19" t="s">
        <v>210</v>
      </c>
      <c r="F99" s="222">
        <v>42114</v>
      </c>
      <c r="G99" s="222"/>
      <c r="H99" s="222">
        <v>210278</v>
      </c>
    </row>
    <row r="100" spans="1:8" ht="12">
      <c r="A100" s="123"/>
      <c r="B100" s="299"/>
      <c r="C100" s="103" t="s">
        <v>211</v>
      </c>
      <c r="D100" s="8">
        <v>425113</v>
      </c>
      <c r="E100" s="19" t="s">
        <v>212</v>
      </c>
      <c r="F100" s="222">
        <v>203725</v>
      </c>
      <c r="G100" s="222"/>
      <c r="H100" s="222">
        <v>0</v>
      </c>
    </row>
    <row r="101" spans="1:8" ht="12">
      <c r="A101" s="123"/>
      <c r="B101" s="299"/>
      <c r="C101" s="103" t="s">
        <v>213</v>
      </c>
      <c r="D101" s="8">
        <v>425114</v>
      </c>
      <c r="E101" s="19" t="s">
        <v>214</v>
      </c>
      <c r="F101" s="222">
        <v>78938</v>
      </c>
      <c r="G101" s="222">
        <v>1277000</v>
      </c>
      <c r="H101" s="222">
        <v>0</v>
      </c>
    </row>
    <row r="102" spans="1:8" ht="12">
      <c r="A102" s="123"/>
      <c r="B102" s="299"/>
      <c r="C102" s="103" t="s">
        <v>215</v>
      </c>
      <c r="D102" s="8">
        <v>425115</v>
      </c>
      <c r="E102" s="19" t="s">
        <v>216</v>
      </c>
      <c r="F102" s="222">
        <v>779900</v>
      </c>
      <c r="G102" s="222">
        <v>0</v>
      </c>
      <c r="H102" s="222">
        <v>152518</v>
      </c>
    </row>
    <row r="103" spans="1:8" ht="12">
      <c r="A103" s="123"/>
      <c r="B103" s="299"/>
      <c r="C103" s="103" t="s">
        <v>217</v>
      </c>
      <c r="D103" s="8">
        <v>425116</v>
      </c>
      <c r="E103" s="19" t="s">
        <v>218</v>
      </c>
      <c r="F103" s="222">
        <v>456793</v>
      </c>
      <c r="G103" s="222">
        <v>159792</v>
      </c>
      <c r="H103" s="222">
        <v>0</v>
      </c>
    </row>
    <row r="104" spans="1:11" s="259" customFormat="1" ht="12">
      <c r="A104" s="123"/>
      <c r="B104" s="299"/>
      <c r="C104" s="103" t="s">
        <v>219</v>
      </c>
      <c r="D104" s="8">
        <v>425117</v>
      </c>
      <c r="E104" s="19" t="s">
        <v>220</v>
      </c>
      <c r="F104" s="222">
        <v>9216</v>
      </c>
      <c r="G104" s="222"/>
      <c r="H104" s="222">
        <v>7100</v>
      </c>
      <c r="K104" s="258"/>
    </row>
    <row r="105" spans="1:11" s="259" customFormat="1" ht="12">
      <c r="A105" s="123"/>
      <c r="B105" s="299"/>
      <c r="C105" s="103"/>
      <c r="D105" s="8">
        <v>425118</v>
      </c>
      <c r="E105" s="19" t="s">
        <v>222</v>
      </c>
      <c r="F105" s="222">
        <v>42500</v>
      </c>
      <c r="G105" s="222"/>
      <c r="H105" s="222"/>
      <c r="K105" s="258"/>
    </row>
    <row r="106" spans="1:11" s="259" customFormat="1" ht="13.5" customHeight="1">
      <c r="A106" s="123"/>
      <c r="B106" s="299"/>
      <c r="C106" s="103" t="s">
        <v>221</v>
      </c>
      <c r="D106" s="8">
        <v>425119</v>
      </c>
      <c r="E106" s="227" t="s">
        <v>224</v>
      </c>
      <c r="F106" s="222">
        <v>0</v>
      </c>
      <c r="G106" s="222"/>
      <c r="H106" s="222">
        <v>0</v>
      </c>
      <c r="K106" s="258"/>
    </row>
    <row r="107" spans="1:11" s="259" customFormat="1" ht="12">
      <c r="A107" s="123"/>
      <c r="B107" s="299"/>
      <c r="C107" s="103" t="s">
        <v>223</v>
      </c>
      <c r="D107" s="8">
        <v>425191</v>
      </c>
      <c r="E107" s="19" t="s">
        <v>226</v>
      </c>
      <c r="F107" s="222">
        <v>826395</v>
      </c>
      <c r="G107" s="222"/>
      <c r="H107" s="222">
        <v>1100181</v>
      </c>
      <c r="K107" s="258"/>
    </row>
    <row r="108" spans="1:11" s="259" customFormat="1" ht="18" customHeight="1">
      <c r="A108" s="123"/>
      <c r="B108" s="93"/>
      <c r="C108" s="102" t="s">
        <v>227</v>
      </c>
      <c r="D108" s="11">
        <v>425200</v>
      </c>
      <c r="E108" s="122" t="s">
        <v>228</v>
      </c>
      <c r="F108" s="146">
        <f>+F109+F114+F122+F123+F124</f>
        <v>4193952</v>
      </c>
      <c r="G108" s="146">
        <f>+G109+G114+G122+G123+G124</f>
        <v>1248583</v>
      </c>
      <c r="H108" s="146">
        <f>+H109+H114+H122+H123+H124</f>
        <v>1070422</v>
      </c>
      <c r="K108" s="258"/>
    </row>
    <row r="109" spans="1:11" s="259" customFormat="1" ht="18" customHeight="1">
      <c r="A109" s="123"/>
      <c r="B109" s="242"/>
      <c r="C109" s="102" t="s">
        <v>229</v>
      </c>
      <c r="D109" s="11">
        <v>425210</v>
      </c>
      <c r="E109" s="122" t="s">
        <v>230</v>
      </c>
      <c r="F109" s="146">
        <f>+F110+F111+F112+F113</f>
        <v>3313131</v>
      </c>
      <c r="G109" s="146">
        <f>+G110+G111+G112+G113</f>
        <v>535275</v>
      </c>
      <c r="H109" s="146">
        <f>+H110+H111+H112+H113</f>
        <v>607422</v>
      </c>
      <c r="K109" s="258"/>
    </row>
    <row r="110" spans="1:11" s="259" customFormat="1" ht="12">
      <c r="A110" s="123"/>
      <c r="B110" s="305"/>
      <c r="C110" s="103" t="s">
        <v>231</v>
      </c>
      <c r="D110" s="8">
        <v>425211</v>
      </c>
      <c r="E110" s="19" t="s">
        <v>473</v>
      </c>
      <c r="F110" s="230">
        <v>3088596</v>
      </c>
      <c r="G110" s="230">
        <v>486910</v>
      </c>
      <c r="H110" s="230">
        <v>355163</v>
      </c>
      <c r="K110" s="258"/>
    </row>
    <row r="111" spans="1:11" s="259" customFormat="1" ht="12">
      <c r="A111" s="123"/>
      <c r="B111" s="305"/>
      <c r="C111" s="103" t="s">
        <v>474</v>
      </c>
      <c r="D111" s="8">
        <v>425212</v>
      </c>
      <c r="E111" s="19" t="s">
        <v>236</v>
      </c>
      <c r="F111" s="230">
        <v>3500</v>
      </c>
      <c r="G111" s="230">
        <v>0</v>
      </c>
      <c r="H111" s="230">
        <v>165499</v>
      </c>
      <c r="K111" s="258"/>
    </row>
    <row r="112" spans="1:11" s="259" customFormat="1" ht="12">
      <c r="A112" s="123"/>
      <c r="B112" s="305"/>
      <c r="C112" s="103" t="s">
        <v>235</v>
      </c>
      <c r="D112" s="8">
        <v>425213</v>
      </c>
      <c r="E112" s="19" t="s">
        <v>238</v>
      </c>
      <c r="F112" s="230">
        <v>960</v>
      </c>
      <c r="G112" s="230">
        <v>7500</v>
      </c>
      <c r="H112" s="230">
        <v>31500</v>
      </c>
      <c r="K112" s="258"/>
    </row>
    <row r="113" spans="1:11" s="259" customFormat="1" ht="12">
      <c r="A113" s="136"/>
      <c r="B113" s="305"/>
      <c r="C113" s="103" t="s">
        <v>237</v>
      </c>
      <c r="D113" s="8">
        <v>425219</v>
      </c>
      <c r="E113" s="19" t="s">
        <v>242</v>
      </c>
      <c r="F113" s="230">
        <v>220075</v>
      </c>
      <c r="G113" s="230">
        <v>40865</v>
      </c>
      <c r="H113" s="230">
        <v>55260</v>
      </c>
      <c r="K113" s="258"/>
    </row>
    <row r="114" spans="1:11" s="259" customFormat="1" ht="15.75" customHeight="1">
      <c r="A114" s="123"/>
      <c r="B114" s="242"/>
      <c r="C114" s="102" t="s">
        <v>243</v>
      </c>
      <c r="D114" s="11">
        <v>425220</v>
      </c>
      <c r="E114" s="122" t="s">
        <v>244</v>
      </c>
      <c r="F114" s="140">
        <f>+F115+F116+F117+F118+F119+F120+F121</f>
        <v>92140</v>
      </c>
      <c r="G114" s="140">
        <f>+G115+G116+G117+G118+G119+G120+G121</f>
        <v>92045</v>
      </c>
      <c r="H114" s="140">
        <f>+H115+H116+H117+H118+H119+H120+H121</f>
        <v>129572</v>
      </c>
      <c r="K114" s="258"/>
    </row>
    <row r="115" spans="1:11" s="259" customFormat="1" ht="12">
      <c r="A115" s="123"/>
      <c r="B115" s="305"/>
      <c r="C115" s="103" t="s">
        <v>245</v>
      </c>
      <c r="D115" s="8">
        <v>425221</v>
      </c>
      <c r="E115" s="19" t="s">
        <v>246</v>
      </c>
      <c r="F115" s="222">
        <v>0</v>
      </c>
      <c r="G115" s="222"/>
      <c r="H115" s="222">
        <v>4000</v>
      </c>
      <c r="K115" s="258"/>
    </row>
    <row r="116" spans="1:11" s="259" customFormat="1" ht="12">
      <c r="A116" s="123"/>
      <c r="B116" s="305"/>
      <c r="C116" s="103" t="s">
        <v>247</v>
      </c>
      <c r="D116" s="8">
        <v>425222</v>
      </c>
      <c r="E116" s="19" t="s">
        <v>248</v>
      </c>
      <c r="F116" s="222">
        <v>61604</v>
      </c>
      <c r="G116" s="222">
        <v>12864</v>
      </c>
      <c r="H116" s="222">
        <v>122932</v>
      </c>
      <c r="K116" s="258"/>
    </row>
    <row r="117" spans="1:11" s="259" customFormat="1" ht="12">
      <c r="A117" s="123"/>
      <c r="B117" s="305"/>
      <c r="C117" s="103" t="s">
        <v>249</v>
      </c>
      <c r="D117" s="8">
        <v>425223</v>
      </c>
      <c r="E117" s="19" t="s">
        <v>250</v>
      </c>
      <c r="F117" s="222">
        <v>0</v>
      </c>
      <c r="G117" s="222">
        <v>0</v>
      </c>
      <c r="H117" s="222">
        <v>0</v>
      </c>
      <c r="K117" s="258"/>
    </row>
    <row r="118" spans="1:11" s="259" customFormat="1" ht="12">
      <c r="A118" s="123"/>
      <c r="B118" s="305"/>
      <c r="C118" s="103" t="s">
        <v>251</v>
      </c>
      <c r="D118" s="8">
        <v>425224</v>
      </c>
      <c r="E118" s="19" t="s">
        <v>252</v>
      </c>
      <c r="F118" s="222">
        <v>27086</v>
      </c>
      <c r="G118" s="222">
        <v>5280</v>
      </c>
      <c r="H118" s="222">
        <v>2640</v>
      </c>
      <c r="K118" s="258"/>
    </row>
    <row r="119" spans="1:11" s="259" customFormat="1" ht="12">
      <c r="A119" s="123"/>
      <c r="B119" s="305"/>
      <c r="C119" s="103" t="s">
        <v>253</v>
      </c>
      <c r="D119" s="8">
        <v>425225</v>
      </c>
      <c r="E119" s="19" t="s">
        <v>254</v>
      </c>
      <c r="F119" s="222">
        <v>2250</v>
      </c>
      <c r="G119" s="222">
        <v>73901</v>
      </c>
      <c r="H119" s="222">
        <v>0</v>
      </c>
      <c r="K119" s="258"/>
    </row>
    <row r="120" spans="1:11" s="259" customFormat="1" ht="12">
      <c r="A120" s="123"/>
      <c r="B120" s="305"/>
      <c r="C120" s="103" t="s">
        <v>255</v>
      </c>
      <c r="D120" s="8">
        <v>425226</v>
      </c>
      <c r="E120" s="19" t="s">
        <v>256</v>
      </c>
      <c r="F120" s="222">
        <v>0</v>
      </c>
      <c r="G120" s="222">
        <v>0</v>
      </c>
      <c r="H120" s="222">
        <v>0</v>
      </c>
      <c r="K120" s="258"/>
    </row>
    <row r="121" spans="1:11" s="259" customFormat="1" ht="13.5" customHeight="1">
      <c r="A121" s="123"/>
      <c r="B121" s="305"/>
      <c r="C121" s="103" t="s">
        <v>257</v>
      </c>
      <c r="D121" s="8">
        <v>425229</v>
      </c>
      <c r="E121" s="19" t="s">
        <v>258</v>
      </c>
      <c r="F121" s="222">
        <v>1200</v>
      </c>
      <c r="G121" s="222">
        <v>0</v>
      </c>
      <c r="H121" s="222">
        <v>0</v>
      </c>
      <c r="K121" s="258"/>
    </row>
    <row r="122" spans="1:11" s="259" customFormat="1" ht="15.75" customHeight="1">
      <c r="A122" s="123"/>
      <c r="B122" s="242"/>
      <c r="C122" s="102" t="s">
        <v>261</v>
      </c>
      <c r="D122" s="11">
        <v>425251</v>
      </c>
      <c r="E122" s="122" t="s">
        <v>262</v>
      </c>
      <c r="F122" s="146">
        <v>325800</v>
      </c>
      <c r="G122" s="146">
        <v>388148</v>
      </c>
      <c r="H122" s="146">
        <v>287618</v>
      </c>
      <c r="K122" s="258"/>
    </row>
    <row r="123" spans="1:11" s="259" customFormat="1" ht="16.5" customHeight="1">
      <c r="A123" s="123"/>
      <c r="B123" s="242"/>
      <c r="C123" s="102" t="s">
        <v>263</v>
      </c>
      <c r="D123" s="11">
        <v>425252</v>
      </c>
      <c r="E123" s="122" t="s">
        <v>268</v>
      </c>
      <c r="F123" s="146">
        <v>365026</v>
      </c>
      <c r="G123" s="146">
        <v>217719</v>
      </c>
      <c r="H123" s="146">
        <v>20436</v>
      </c>
      <c r="K123" s="258"/>
    </row>
    <row r="124" spans="1:11" s="259" customFormat="1" ht="12">
      <c r="A124" s="136"/>
      <c r="B124" s="242"/>
      <c r="C124" s="102" t="s">
        <v>475</v>
      </c>
      <c r="D124" s="11">
        <v>425281</v>
      </c>
      <c r="E124" s="152" t="s">
        <v>272</v>
      </c>
      <c r="F124" s="146">
        <v>97855</v>
      </c>
      <c r="G124" s="146">
        <v>15396</v>
      </c>
      <c r="H124" s="146">
        <v>25374</v>
      </c>
      <c r="K124" s="258"/>
    </row>
    <row r="125" spans="1:11" s="259" customFormat="1" ht="16.5" customHeight="1">
      <c r="A125" s="54">
        <v>6</v>
      </c>
      <c r="B125" s="11">
        <v>426000</v>
      </c>
      <c r="C125" s="8"/>
      <c r="D125" s="287" t="s">
        <v>273</v>
      </c>
      <c r="E125" s="287"/>
      <c r="F125" s="132">
        <f>+F126+F131+F132+F139+F154+F162</f>
        <v>52054550.160298645</v>
      </c>
      <c r="G125" s="132">
        <f>+G126+G131+G132+G139+G154+G162</f>
        <v>7743152</v>
      </c>
      <c r="H125" s="132">
        <f>+H126+H131+H132+H139+H154+H162</f>
        <v>19748108</v>
      </c>
      <c r="K125" s="258"/>
    </row>
    <row r="126" spans="1:11" s="259" customFormat="1" ht="12">
      <c r="A126" s="121"/>
      <c r="B126" s="4"/>
      <c r="C126" s="102" t="s">
        <v>274</v>
      </c>
      <c r="D126" s="11">
        <v>426100</v>
      </c>
      <c r="E126" s="122" t="s">
        <v>275</v>
      </c>
      <c r="F126" s="146">
        <f>+F127+F128+F129+F130</f>
        <v>1273447</v>
      </c>
      <c r="G126" s="146">
        <f>+G127+G128+G129+G130</f>
        <v>178129</v>
      </c>
      <c r="H126" s="146">
        <f>+H127+H128+H129+H130</f>
        <v>275966</v>
      </c>
      <c r="K126" s="258"/>
    </row>
    <row r="127" spans="1:11" s="259" customFormat="1" ht="12">
      <c r="A127" s="123"/>
      <c r="B127" s="305"/>
      <c r="C127" s="103" t="s">
        <v>276</v>
      </c>
      <c r="D127" s="8">
        <v>426111</v>
      </c>
      <c r="E127" s="19" t="s">
        <v>277</v>
      </c>
      <c r="F127" s="230">
        <v>15535</v>
      </c>
      <c r="G127" s="230">
        <v>11352</v>
      </c>
      <c r="H127" s="230">
        <v>40365</v>
      </c>
      <c r="K127" s="258"/>
    </row>
    <row r="128" spans="1:11" s="259" customFormat="1" ht="12">
      <c r="A128" s="123"/>
      <c r="B128" s="305"/>
      <c r="C128" s="103" t="s">
        <v>278</v>
      </c>
      <c r="D128" s="8">
        <v>4261111</v>
      </c>
      <c r="E128" s="19" t="s">
        <v>279</v>
      </c>
      <c r="F128" s="230">
        <v>1205229</v>
      </c>
      <c r="G128" s="230">
        <v>163164</v>
      </c>
      <c r="H128" s="230">
        <v>164003</v>
      </c>
      <c r="K128" s="258"/>
    </row>
    <row r="129" spans="1:11" s="259" customFormat="1" ht="12">
      <c r="A129" s="123"/>
      <c r="B129" s="305"/>
      <c r="C129" s="103" t="s">
        <v>280</v>
      </c>
      <c r="D129" s="8">
        <v>4261112</v>
      </c>
      <c r="E129" s="19" t="s">
        <v>281</v>
      </c>
      <c r="F129" s="222">
        <v>52683</v>
      </c>
      <c r="G129" s="222">
        <v>3613</v>
      </c>
      <c r="H129" s="222">
        <v>71598</v>
      </c>
      <c r="K129" s="258"/>
    </row>
    <row r="130" spans="1:11" s="259" customFormat="1" ht="12">
      <c r="A130" s="123"/>
      <c r="B130" s="305"/>
      <c r="C130" s="103" t="s">
        <v>285</v>
      </c>
      <c r="D130" s="8">
        <v>426124</v>
      </c>
      <c r="E130" s="19" t="s">
        <v>286</v>
      </c>
      <c r="F130" s="222"/>
      <c r="G130" s="222"/>
      <c r="H130" s="222">
        <v>0</v>
      </c>
      <c r="K130" s="258"/>
    </row>
    <row r="131" spans="1:11" s="259" customFormat="1" ht="22.5">
      <c r="A131" s="123"/>
      <c r="B131" s="93"/>
      <c r="C131" s="102" t="s">
        <v>289</v>
      </c>
      <c r="D131" s="11">
        <v>426300</v>
      </c>
      <c r="E131" s="122" t="s">
        <v>290</v>
      </c>
      <c r="F131" s="146">
        <v>23432</v>
      </c>
      <c r="G131" s="146"/>
      <c r="H131" s="146">
        <v>28730</v>
      </c>
      <c r="K131" s="258"/>
    </row>
    <row r="132" spans="1:11" s="259" customFormat="1" ht="12">
      <c r="A132" s="123"/>
      <c r="B132" s="93"/>
      <c r="C132" s="102" t="s">
        <v>293</v>
      </c>
      <c r="D132" s="11">
        <v>426400</v>
      </c>
      <c r="E132" s="122" t="s">
        <v>294</v>
      </c>
      <c r="F132" s="146">
        <f>+F133+F134+F135+F136+F137+F138</f>
        <v>11108611</v>
      </c>
      <c r="G132" s="146">
        <f>+G133+G134+G135+G136+G137+G138</f>
        <v>2397179</v>
      </c>
      <c r="H132" s="146">
        <f>+H133+H134+H135+H136+H137+H138</f>
        <v>6105614</v>
      </c>
      <c r="K132" s="258"/>
    </row>
    <row r="133" spans="1:11" s="259" customFormat="1" ht="12">
      <c r="A133" s="123"/>
      <c r="B133" s="305"/>
      <c r="C133" s="103" t="s">
        <v>295</v>
      </c>
      <c r="D133" s="8">
        <v>4264111</v>
      </c>
      <c r="E133" s="19" t="s">
        <v>296</v>
      </c>
      <c r="F133" s="222">
        <f>130183+119840</f>
        <v>250023</v>
      </c>
      <c r="G133" s="222">
        <f>600928+204055</f>
        <v>804983</v>
      </c>
      <c r="H133" s="222">
        <f>980186+196521</f>
        <v>1176707</v>
      </c>
      <c r="K133" s="258"/>
    </row>
    <row r="134" spans="1:11" s="259" customFormat="1" ht="12">
      <c r="A134" s="123"/>
      <c r="B134" s="305"/>
      <c r="C134" s="103" t="s">
        <v>297</v>
      </c>
      <c r="D134" s="8">
        <v>4264112</v>
      </c>
      <c r="E134" s="19" t="s">
        <v>298</v>
      </c>
      <c r="F134" s="222">
        <f>1041709+226334</f>
        <v>1268043</v>
      </c>
      <c r="G134" s="222">
        <f>18790+4038</f>
        <v>22828</v>
      </c>
      <c r="H134" s="222">
        <f>771026+124960</f>
        <v>895986</v>
      </c>
      <c r="K134" s="258"/>
    </row>
    <row r="135" spans="1:11" s="259" customFormat="1" ht="12">
      <c r="A135" s="123"/>
      <c r="B135" s="305"/>
      <c r="C135" s="103" t="s">
        <v>299</v>
      </c>
      <c r="D135" s="8">
        <v>426412</v>
      </c>
      <c r="E135" s="19" t="s">
        <v>300</v>
      </c>
      <c r="F135" s="222">
        <f>7469568+1315679</f>
        <v>8785247</v>
      </c>
      <c r="G135" s="222">
        <f>1172240+130118</f>
        <v>1302358</v>
      </c>
      <c r="H135" s="222">
        <f>2887163+517774</f>
        <v>3404937</v>
      </c>
      <c r="K135" s="258"/>
    </row>
    <row r="136" spans="1:11" s="259" customFormat="1" ht="12">
      <c r="A136" s="123"/>
      <c r="B136" s="305"/>
      <c r="C136" s="103" t="s">
        <v>301</v>
      </c>
      <c r="D136" s="8">
        <v>426413</v>
      </c>
      <c r="E136" s="19" t="s">
        <v>476</v>
      </c>
      <c r="F136" s="222">
        <v>153520</v>
      </c>
      <c r="G136" s="222">
        <v>63083</v>
      </c>
      <c r="H136" s="222">
        <v>81717</v>
      </c>
      <c r="K136" s="258"/>
    </row>
    <row r="137" spans="1:11" s="259" customFormat="1" ht="12">
      <c r="A137" s="123"/>
      <c r="B137" s="305"/>
      <c r="C137" s="103" t="s">
        <v>303</v>
      </c>
      <c r="D137" s="8">
        <v>4264911</v>
      </c>
      <c r="E137" s="19" t="s">
        <v>304</v>
      </c>
      <c r="F137" s="222">
        <v>405847</v>
      </c>
      <c r="G137" s="222">
        <v>187567</v>
      </c>
      <c r="H137" s="222">
        <v>144309</v>
      </c>
      <c r="K137" s="258"/>
    </row>
    <row r="138" spans="1:11" s="259" customFormat="1" ht="12">
      <c r="A138" s="123"/>
      <c r="B138" s="305"/>
      <c r="C138" s="103" t="s">
        <v>305</v>
      </c>
      <c r="D138" s="8">
        <v>4264912</v>
      </c>
      <c r="E138" s="19" t="s">
        <v>306</v>
      </c>
      <c r="F138" s="222">
        <v>245931</v>
      </c>
      <c r="G138" s="222">
        <v>16360</v>
      </c>
      <c r="H138" s="222">
        <v>401958</v>
      </c>
      <c r="K138" s="258"/>
    </row>
    <row r="139" spans="1:11" s="259" customFormat="1" ht="12">
      <c r="A139" s="123"/>
      <c r="B139" s="93"/>
      <c r="C139" s="102" t="s">
        <v>307</v>
      </c>
      <c r="D139" s="11">
        <v>426700</v>
      </c>
      <c r="E139" s="122" t="s">
        <v>308</v>
      </c>
      <c r="F139" s="140">
        <f>+F140+F145+F146</f>
        <v>38908504.160298645</v>
      </c>
      <c r="G139" s="140">
        <f>+G140+G145+G146+G150</f>
        <v>4571207</v>
      </c>
      <c r="H139" s="140">
        <f>+H140+H145+H146+H150</f>
        <v>12744697</v>
      </c>
      <c r="K139" s="258"/>
    </row>
    <row r="140" spans="1:11" s="259" customFormat="1" ht="12">
      <c r="A140" s="123"/>
      <c r="B140" s="93"/>
      <c r="C140" s="102" t="s">
        <v>309</v>
      </c>
      <c r="D140" s="11">
        <v>426710</v>
      </c>
      <c r="E140" s="19" t="s">
        <v>310</v>
      </c>
      <c r="F140" s="146">
        <f>+F141+F142+F143+F144</f>
        <v>8618324.160298642</v>
      </c>
      <c r="G140" s="146">
        <f>+G141+G142+G143+G144</f>
        <v>976899</v>
      </c>
      <c r="H140" s="146">
        <f>+H141+H142+H143+H144</f>
        <v>2672143</v>
      </c>
      <c r="K140" s="258"/>
    </row>
    <row r="141" spans="1:11" s="259" customFormat="1" ht="12">
      <c r="A141" s="123"/>
      <c r="B141" s="305"/>
      <c r="C141" s="103" t="s">
        <v>311</v>
      </c>
      <c r="D141" s="8">
        <v>426711</v>
      </c>
      <c r="E141" s="19" t="s">
        <v>312</v>
      </c>
      <c r="F141" s="222">
        <v>7984927</v>
      </c>
      <c r="G141" s="222">
        <v>939985</v>
      </c>
      <c r="H141" s="222">
        <v>2524140</v>
      </c>
      <c r="K141" s="258"/>
    </row>
    <row r="142" spans="1:11" s="259" customFormat="1" ht="12">
      <c r="A142" s="123"/>
      <c r="B142" s="305"/>
      <c r="C142" s="103" t="s">
        <v>313</v>
      </c>
      <c r="D142" s="8">
        <v>42671102</v>
      </c>
      <c r="E142" s="19" t="s">
        <v>314</v>
      </c>
      <c r="F142" s="222">
        <v>0</v>
      </c>
      <c r="G142" s="222"/>
      <c r="H142" s="222">
        <v>41912</v>
      </c>
      <c r="K142" s="258"/>
    </row>
    <row r="143" spans="1:11" s="259" customFormat="1" ht="12">
      <c r="A143" s="123"/>
      <c r="B143" s="305"/>
      <c r="C143" s="103" t="s">
        <v>315</v>
      </c>
      <c r="D143" s="8">
        <v>42671103</v>
      </c>
      <c r="E143" s="19" t="s">
        <v>316</v>
      </c>
      <c r="F143" s="222">
        <v>606418</v>
      </c>
      <c r="G143" s="222">
        <v>15945</v>
      </c>
      <c r="H143" s="222">
        <v>40236</v>
      </c>
      <c r="K143" s="258"/>
    </row>
    <row r="144" spans="1:11" s="259" customFormat="1" ht="12">
      <c r="A144" s="123"/>
      <c r="B144" s="305"/>
      <c r="C144" s="103" t="s">
        <v>317</v>
      </c>
      <c r="D144" s="8">
        <v>42671105</v>
      </c>
      <c r="E144" s="19" t="s">
        <v>318</v>
      </c>
      <c r="F144" s="222">
        <v>26979.160298641</v>
      </c>
      <c r="G144" s="222">
        <v>20969</v>
      </c>
      <c r="H144" s="222">
        <v>65855</v>
      </c>
      <c r="K144" s="258"/>
    </row>
    <row r="145" spans="1:11" s="259" customFormat="1" ht="12">
      <c r="A145" s="123"/>
      <c r="B145" s="93"/>
      <c r="C145" s="102" t="s">
        <v>321</v>
      </c>
      <c r="D145" s="11">
        <v>426721</v>
      </c>
      <c r="E145" s="122" t="s">
        <v>322</v>
      </c>
      <c r="F145" s="140">
        <v>5424678</v>
      </c>
      <c r="G145" s="140">
        <v>1058275</v>
      </c>
      <c r="H145" s="140">
        <v>4092237</v>
      </c>
      <c r="K145" s="258"/>
    </row>
    <row r="146" spans="1:11" s="259" customFormat="1" ht="12">
      <c r="A146" s="123"/>
      <c r="B146" s="4"/>
      <c r="C146" s="102" t="s">
        <v>323</v>
      </c>
      <c r="D146" s="11">
        <v>426750</v>
      </c>
      <c r="E146" s="122" t="s">
        <v>324</v>
      </c>
      <c r="F146" s="146">
        <f>+F147+F148+F149</f>
        <v>24865502</v>
      </c>
      <c r="G146" s="146">
        <f>+G147+G148+G149</f>
        <v>2498659</v>
      </c>
      <c r="H146" s="146">
        <f>+H147+H148+H149</f>
        <v>5577553</v>
      </c>
      <c r="I146" s="271"/>
      <c r="K146" s="258"/>
    </row>
    <row r="147" spans="1:11" s="259" customFormat="1" ht="12">
      <c r="A147" s="123"/>
      <c r="B147" s="306"/>
      <c r="C147" s="103" t="s">
        <v>325</v>
      </c>
      <c r="D147" s="8">
        <v>426751</v>
      </c>
      <c r="E147" s="19" t="s">
        <v>326</v>
      </c>
      <c r="F147" s="222">
        <v>16577967</v>
      </c>
      <c r="G147" s="222">
        <v>2433039</v>
      </c>
      <c r="H147" s="222">
        <v>3950870</v>
      </c>
      <c r="K147" s="258"/>
    </row>
    <row r="148" spans="1:11" s="259" customFormat="1" ht="12">
      <c r="A148" s="123"/>
      <c r="B148" s="306"/>
      <c r="C148" s="103" t="s">
        <v>327</v>
      </c>
      <c r="D148" s="8">
        <v>42675100</v>
      </c>
      <c r="E148" s="19" t="s">
        <v>477</v>
      </c>
      <c r="F148" s="222">
        <v>688456</v>
      </c>
      <c r="G148" s="222">
        <v>65620</v>
      </c>
      <c r="H148" s="222">
        <v>85479</v>
      </c>
      <c r="K148" s="258"/>
    </row>
    <row r="149" spans="1:11" s="259" customFormat="1" ht="12">
      <c r="A149" s="123"/>
      <c r="B149" s="109"/>
      <c r="C149" s="103" t="s">
        <v>329</v>
      </c>
      <c r="D149" s="8">
        <v>42675108</v>
      </c>
      <c r="E149" s="19" t="s">
        <v>330</v>
      </c>
      <c r="F149" s="222">
        <v>7599079</v>
      </c>
      <c r="G149" s="261"/>
      <c r="H149" s="222">
        <v>1541204</v>
      </c>
      <c r="K149" s="258"/>
    </row>
    <row r="150" spans="1:11" s="259" customFormat="1" ht="12">
      <c r="A150" s="123"/>
      <c r="B150" s="109"/>
      <c r="C150" s="102" t="s">
        <v>333</v>
      </c>
      <c r="D150" s="11">
        <v>426790</v>
      </c>
      <c r="E150" s="122" t="s">
        <v>334</v>
      </c>
      <c r="F150" s="222"/>
      <c r="G150" s="146">
        <f>+G151+G153</f>
        <v>37374</v>
      </c>
      <c r="H150" s="146">
        <f>+H151+H152+H153</f>
        <v>402764</v>
      </c>
      <c r="K150" s="258"/>
    </row>
    <row r="151" spans="1:11" s="259" customFormat="1" ht="12">
      <c r="A151" s="123"/>
      <c r="B151" s="109"/>
      <c r="C151" s="103" t="s">
        <v>478</v>
      </c>
      <c r="D151" s="8">
        <v>42679101</v>
      </c>
      <c r="E151" s="19" t="s">
        <v>492</v>
      </c>
      <c r="F151" s="222"/>
      <c r="G151" s="222"/>
      <c r="H151" s="222">
        <v>12030</v>
      </c>
      <c r="K151" s="258"/>
    </row>
    <row r="152" spans="1:11" s="259" customFormat="1" ht="12">
      <c r="A152" s="123"/>
      <c r="B152" s="109"/>
      <c r="C152" s="103"/>
      <c r="D152" s="8">
        <v>42679103</v>
      </c>
      <c r="E152" s="19" t="s">
        <v>493</v>
      </c>
      <c r="F152" s="222"/>
      <c r="G152" s="222"/>
      <c r="H152" s="272"/>
      <c r="K152" s="258"/>
    </row>
    <row r="153" spans="1:11" s="259" customFormat="1" ht="12">
      <c r="A153" s="123"/>
      <c r="B153" s="109"/>
      <c r="C153" s="103" t="s">
        <v>336</v>
      </c>
      <c r="D153" s="8">
        <v>42679104</v>
      </c>
      <c r="E153" s="19" t="s">
        <v>337</v>
      </c>
      <c r="F153" s="222">
        <v>88854</v>
      </c>
      <c r="G153" s="222">
        <v>37374</v>
      </c>
      <c r="H153" s="222">
        <v>390734</v>
      </c>
      <c r="K153" s="258"/>
    </row>
    <row r="154" spans="1:11" s="259" customFormat="1" ht="12">
      <c r="A154" s="123"/>
      <c r="B154" s="93"/>
      <c r="C154" s="102" t="s">
        <v>340</v>
      </c>
      <c r="D154" s="11">
        <v>426800</v>
      </c>
      <c r="E154" s="122" t="s">
        <v>341</v>
      </c>
      <c r="F154" s="140">
        <f>+F155+F157+F160+F159+F158+F156</f>
        <v>114062</v>
      </c>
      <c r="G154" s="140">
        <f>+G155+G157+G160+G159+G158+G156</f>
        <v>301549</v>
      </c>
      <c r="H154" s="140">
        <f>+H155+H157+H160+H159+H158+H156</f>
        <v>327252</v>
      </c>
      <c r="K154" s="258"/>
    </row>
    <row r="155" spans="1:11" s="259" customFormat="1" ht="12">
      <c r="A155" s="123"/>
      <c r="B155" s="305"/>
      <c r="C155" s="103" t="s">
        <v>342</v>
      </c>
      <c r="D155" s="8">
        <v>426811</v>
      </c>
      <c r="E155" s="19" t="s">
        <v>343</v>
      </c>
      <c r="F155" s="222">
        <v>31917</v>
      </c>
      <c r="G155" s="222">
        <v>190</v>
      </c>
      <c r="H155" s="222">
        <v>3094</v>
      </c>
      <c r="K155" s="258"/>
    </row>
    <row r="156" spans="1:11" s="259" customFormat="1" ht="12">
      <c r="A156" s="123"/>
      <c r="B156" s="305"/>
      <c r="C156" s="103" t="s">
        <v>344</v>
      </c>
      <c r="D156" s="8">
        <v>42681101</v>
      </c>
      <c r="E156" s="19" t="s">
        <v>345</v>
      </c>
      <c r="F156" s="222"/>
      <c r="G156" s="222">
        <v>0</v>
      </c>
      <c r="H156" s="222"/>
      <c r="K156" s="258"/>
    </row>
    <row r="157" spans="1:11" s="259" customFormat="1" ht="12">
      <c r="A157" s="123"/>
      <c r="B157" s="305"/>
      <c r="C157" s="103" t="s">
        <v>346</v>
      </c>
      <c r="D157" s="8">
        <v>426823</v>
      </c>
      <c r="E157" s="19" t="s">
        <v>347</v>
      </c>
      <c r="F157" s="222">
        <v>0</v>
      </c>
      <c r="G157" s="222">
        <v>125222</v>
      </c>
      <c r="H157" s="222">
        <v>263421</v>
      </c>
      <c r="K157" s="258"/>
    </row>
    <row r="158" spans="1:11" s="259" customFormat="1" ht="12">
      <c r="A158" s="123"/>
      <c r="B158" s="305"/>
      <c r="C158" s="103" t="s">
        <v>348</v>
      </c>
      <c r="D158" s="8">
        <v>42682301</v>
      </c>
      <c r="E158" s="19" t="s">
        <v>349</v>
      </c>
      <c r="F158" s="222"/>
      <c r="G158" s="222">
        <v>173970</v>
      </c>
      <c r="H158" s="222">
        <v>47227</v>
      </c>
      <c r="K158" s="258"/>
    </row>
    <row r="159" spans="1:11" s="259" customFormat="1" ht="12">
      <c r="A159" s="123"/>
      <c r="B159" s="305"/>
      <c r="C159" s="103" t="s">
        <v>350</v>
      </c>
      <c r="D159" s="8">
        <v>4268292</v>
      </c>
      <c r="E159" s="19" t="s">
        <v>351</v>
      </c>
      <c r="F159" s="222">
        <v>2748</v>
      </c>
      <c r="G159" s="222">
        <v>687</v>
      </c>
      <c r="H159" s="222">
        <v>4272</v>
      </c>
      <c r="K159" s="258"/>
    </row>
    <row r="160" spans="1:11" s="259" customFormat="1" ht="12">
      <c r="A160" s="123"/>
      <c r="B160" s="305"/>
      <c r="C160" s="103" t="s">
        <v>352</v>
      </c>
      <c r="D160" s="8">
        <v>426829</v>
      </c>
      <c r="E160" s="19" t="s">
        <v>479</v>
      </c>
      <c r="F160" s="222">
        <v>79397</v>
      </c>
      <c r="G160" s="222">
        <v>1480</v>
      </c>
      <c r="H160" s="222">
        <v>9238</v>
      </c>
      <c r="K160" s="258"/>
    </row>
    <row r="161" spans="1:11" s="259" customFormat="1" ht="12">
      <c r="A161" s="123"/>
      <c r="B161" s="109"/>
      <c r="C161" s="103"/>
      <c r="D161" s="8">
        <v>4268291</v>
      </c>
      <c r="E161" s="19" t="s">
        <v>286</v>
      </c>
      <c r="F161" s="222">
        <v>33150</v>
      </c>
      <c r="G161" s="222">
        <v>3150</v>
      </c>
      <c r="H161" s="222"/>
      <c r="K161" s="258"/>
    </row>
    <row r="162" spans="1:11" s="259" customFormat="1" ht="12">
      <c r="A162" s="123"/>
      <c r="B162" s="4"/>
      <c r="C162" s="102" t="s">
        <v>355</v>
      </c>
      <c r="D162" s="11">
        <v>426900</v>
      </c>
      <c r="E162" s="122" t="s">
        <v>356</v>
      </c>
      <c r="F162" s="140">
        <f>+F163+F165+F166+F167+F164</f>
        <v>626494</v>
      </c>
      <c r="G162" s="140">
        <f>+G163+G165+G166+G167+G164</f>
        <v>295088</v>
      </c>
      <c r="H162" s="140">
        <f>+H163+H165+H166+H167+H164</f>
        <v>265849</v>
      </c>
      <c r="K162" s="258"/>
    </row>
    <row r="163" spans="1:11" s="259" customFormat="1" ht="12">
      <c r="A163" s="123"/>
      <c r="B163" s="306"/>
      <c r="C163" s="103" t="s">
        <v>357</v>
      </c>
      <c r="D163" s="8">
        <v>426911</v>
      </c>
      <c r="E163" s="19" t="s">
        <v>358</v>
      </c>
      <c r="F163" s="222">
        <v>810</v>
      </c>
      <c r="G163" s="222"/>
      <c r="H163" s="222">
        <v>150</v>
      </c>
      <c r="K163" s="258"/>
    </row>
    <row r="164" spans="1:11" s="259" customFormat="1" ht="12">
      <c r="A164" s="123"/>
      <c r="B164" s="306"/>
      <c r="C164" s="103" t="s">
        <v>359</v>
      </c>
      <c r="D164" s="8">
        <v>426912</v>
      </c>
      <c r="E164" s="19" t="s">
        <v>360</v>
      </c>
      <c r="F164" s="222">
        <v>6853</v>
      </c>
      <c r="G164" s="222">
        <v>14160</v>
      </c>
      <c r="H164" s="222">
        <v>5299</v>
      </c>
      <c r="K164" s="258"/>
    </row>
    <row r="165" spans="1:11" s="259" customFormat="1" ht="12">
      <c r="A165" s="123"/>
      <c r="B165" s="306"/>
      <c r="C165" s="103" t="s">
        <v>361</v>
      </c>
      <c r="D165" s="8">
        <v>4269121</v>
      </c>
      <c r="E165" s="19" t="s">
        <v>362</v>
      </c>
      <c r="F165" s="222">
        <v>4549</v>
      </c>
      <c r="G165" s="222">
        <v>11180</v>
      </c>
      <c r="H165" s="222">
        <v>12578</v>
      </c>
      <c r="K165" s="258"/>
    </row>
    <row r="166" spans="1:11" s="259" customFormat="1" ht="12">
      <c r="A166" s="123"/>
      <c r="B166" s="306"/>
      <c r="C166" s="103" t="s">
        <v>363</v>
      </c>
      <c r="D166" s="8">
        <v>4269122</v>
      </c>
      <c r="E166" s="19" t="s">
        <v>364</v>
      </c>
      <c r="F166" s="222">
        <v>11001</v>
      </c>
      <c r="G166" s="222">
        <v>14904</v>
      </c>
      <c r="H166" s="222">
        <v>33408</v>
      </c>
      <c r="K166" s="258"/>
    </row>
    <row r="167" spans="1:11" s="259" customFormat="1" ht="12">
      <c r="A167" s="123"/>
      <c r="B167" s="306"/>
      <c r="C167" s="102" t="s">
        <v>365</v>
      </c>
      <c r="D167" s="11">
        <v>426919</v>
      </c>
      <c r="E167" s="122" t="s">
        <v>480</v>
      </c>
      <c r="F167" s="140">
        <f>+F168+F169+F170+F171+F172+F173</f>
        <v>603281</v>
      </c>
      <c r="G167" s="140">
        <f>+G168+G169+G170+G171+G172+G173</f>
        <v>254844</v>
      </c>
      <c r="H167" s="140">
        <f>+H168+H169+H170+H171+H172+H173</f>
        <v>214414</v>
      </c>
      <c r="K167" s="258"/>
    </row>
    <row r="168" spans="1:11" s="259" customFormat="1" ht="12">
      <c r="A168" s="123"/>
      <c r="B168" s="306"/>
      <c r="C168" s="103" t="s">
        <v>366</v>
      </c>
      <c r="D168" s="8">
        <v>4269191</v>
      </c>
      <c r="E168" s="19" t="s">
        <v>367</v>
      </c>
      <c r="F168" s="222">
        <v>85792</v>
      </c>
      <c r="G168" s="222">
        <v>76661</v>
      </c>
      <c r="H168" s="222">
        <v>24925</v>
      </c>
      <c r="K168" s="258"/>
    </row>
    <row r="169" spans="1:11" s="259" customFormat="1" ht="12">
      <c r="A169" s="123"/>
      <c r="B169" s="306"/>
      <c r="C169" s="103" t="s">
        <v>368</v>
      </c>
      <c r="D169" s="8">
        <v>4269193</v>
      </c>
      <c r="E169" s="19" t="s">
        <v>369</v>
      </c>
      <c r="F169" s="222">
        <v>294818</v>
      </c>
      <c r="G169" s="222">
        <v>57980</v>
      </c>
      <c r="H169" s="222">
        <v>59411</v>
      </c>
      <c r="K169" s="258"/>
    </row>
    <row r="170" spans="1:11" s="259" customFormat="1" ht="12">
      <c r="A170" s="123"/>
      <c r="B170" s="306"/>
      <c r="C170" s="103" t="s">
        <v>370</v>
      </c>
      <c r="D170" s="8">
        <v>4269194</v>
      </c>
      <c r="E170" s="19" t="s">
        <v>371</v>
      </c>
      <c r="F170" s="222">
        <v>93146</v>
      </c>
      <c r="G170" s="222">
        <v>58655</v>
      </c>
      <c r="H170" s="222">
        <v>95543</v>
      </c>
      <c r="K170" s="258"/>
    </row>
    <row r="171" spans="1:11" s="259" customFormat="1" ht="12">
      <c r="A171" s="123"/>
      <c r="B171" s="306"/>
      <c r="C171" s="103" t="s">
        <v>372</v>
      </c>
      <c r="D171" s="8">
        <v>4269195</v>
      </c>
      <c r="E171" s="19" t="s">
        <v>373</v>
      </c>
      <c r="F171" s="222">
        <v>47544</v>
      </c>
      <c r="G171" s="222">
        <v>25251</v>
      </c>
      <c r="H171" s="222">
        <v>4739</v>
      </c>
      <c r="K171" s="258"/>
    </row>
    <row r="172" spans="1:11" s="259" customFormat="1" ht="12">
      <c r="A172" s="123"/>
      <c r="B172" s="306"/>
      <c r="C172" s="103" t="s">
        <v>374</v>
      </c>
      <c r="D172" s="8">
        <v>4269196</v>
      </c>
      <c r="E172" s="19" t="s">
        <v>375</v>
      </c>
      <c r="F172" s="222">
        <v>75245</v>
      </c>
      <c r="G172" s="222">
        <v>29261</v>
      </c>
      <c r="H172" s="222">
        <v>19026</v>
      </c>
      <c r="K172" s="258"/>
    </row>
    <row r="173" spans="1:11" s="259" customFormat="1" ht="12">
      <c r="A173" s="123"/>
      <c r="B173" s="306"/>
      <c r="C173" s="103" t="s">
        <v>376</v>
      </c>
      <c r="D173" s="8">
        <v>4269197</v>
      </c>
      <c r="E173" s="19" t="s">
        <v>377</v>
      </c>
      <c r="F173" s="222">
        <v>6736</v>
      </c>
      <c r="G173" s="222">
        <v>7036</v>
      </c>
      <c r="H173" s="222">
        <v>10770</v>
      </c>
      <c r="K173" s="258"/>
    </row>
    <row r="174" spans="1:11" s="259" customFormat="1" ht="12" customHeight="1">
      <c r="A174" s="123"/>
      <c r="B174" s="160">
        <v>440000</v>
      </c>
      <c r="C174" s="243"/>
      <c r="D174" s="304" t="s">
        <v>381</v>
      </c>
      <c r="E174" s="304"/>
      <c r="F174" s="244">
        <f>+F175</f>
        <v>35235</v>
      </c>
      <c r="G174" s="244">
        <f>+G175</f>
        <v>50019</v>
      </c>
      <c r="H174" s="244">
        <f>+H175</f>
        <v>292943</v>
      </c>
      <c r="K174" s="258"/>
    </row>
    <row r="175" spans="1:11" s="259" customFormat="1" ht="12">
      <c r="A175" s="123"/>
      <c r="B175" s="155"/>
      <c r="C175" s="167"/>
      <c r="D175" s="8">
        <v>444211</v>
      </c>
      <c r="E175" s="19" t="s">
        <v>383</v>
      </c>
      <c r="F175" s="222">
        <v>35235</v>
      </c>
      <c r="G175" s="222">
        <v>50019</v>
      </c>
      <c r="H175" s="222">
        <v>292943</v>
      </c>
      <c r="K175" s="258"/>
    </row>
    <row r="176" spans="1:11" s="259" customFormat="1" ht="12" customHeight="1">
      <c r="A176" s="159" t="s">
        <v>37</v>
      </c>
      <c r="B176" s="160">
        <v>482000</v>
      </c>
      <c r="C176" s="243"/>
      <c r="D176" s="304" t="s">
        <v>388</v>
      </c>
      <c r="E176" s="304"/>
      <c r="F176" s="244">
        <f>+F177+F178+F179</f>
        <v>14652</v>
      </c>
      <c r="G176" s="244">
        <f>+G177+G178+G179</f>
        <v>20680</v>
      </c>
      <c r="H176" s="244">
        <f>+H177+H178+H179</f>
        <v>36000</v>
      </c>
      <c r="K176" s="258"/>
    </row>
    <row r="177" spans="1:11" s="259" customFormat="1" ht="12">
      <c r="A177" s="54">
        <v>1</v>
      </c>
      <c r="B177" s="102"/>
      <c r="C177" s="103" t="s">
        <v>382</v>
      </c>
      <c r="D177" s="8">
        <v>482131</v>
      </c>
      <c r="E177" s="19" t="s">
        <v>390</v>
      </c>
      <c r="F177" s="230">
        <v>14652</v>
      </c>
      <c r="G177" s="230">
        <v>20680</v>
      </c>
      <c r="H177" s="230">
        <v>36000</v>
      </c>
      <c r="K177" s="258"/>
    </row>
    <row r="178" spans="1:11" s="259" customFormat="1" ht="12">
      <c r="A178" s="54"/>
      <c r="B178" s="102"/>
      <c r="C178" s="103" t="s">
        <v>481</v>
      </c>
      <c r="D178" s="8">
        <v>482211</v>
      </c>
      <c r="E178" s="19" t="s">
        <v>392</v>
      </c>
      <c r="F178" s="230"/>
      <c r="G178" s="261"/>
      <c r="H178" s="261"/>
      <c r="K178" s="258"/>
    </row>
    <row r="179" spans="1:8" ht="12">
      <c r="A179" s="54"/>
      <c r="B179" s="102"/>
      <c r="C179" s="103" t="s">
        <v>482</v>
      </c>
      <c r="D179" s="8">
        <v>482251</v>
      </c>
      <c r="E179" s="19" t="s">
        <v>394</v>
      </c>
      <c r="F179" s="230"/>
      <c r="G179" s="261"/>
      <c r="H179" s="261"/>
    </row>
    <row r="180" spans="1:8" ht="12" customHeight="1">
      <c r="A180" s="159" t="s">
        <v>483</v>
      </c>
      <c r="B180" s="160">
        <v>483000</v>
      </c>
      <c r="C180" s="243"/>
      <c r="D180" s="304" t="s">
        <v>401</v>
      </c>
      <c r="E180" s="304"/>
      <c r="F180" s="244">
        <f>+F181</f>
        <v>0</v>
      </c>
      <c r="G180" s="261"/>
      <c r="H180" s="261"/>
    </row>
    <row r="181" spans="1:8" ht="12">
      <c r="A181" s="54"/>
      <c r="B181" s="102"/>
      <c r="C181" s="248"/>
      <c r="D181" s="8">
        <v>483111</v>
      </c>
      <c r="E181" s="19" t="s">
        <v>484</v>
      </c>
      <c r="F181" s="230"/>
      <c r="G181" s="261"/>
      <c r="H181" s="261"/>
    </row>
    <row r="182" spans="1:8" ht="12" customHeight="1">
      <c r="A182" s="94" t="s">
        <v>40</v>
      </c>
      <c r="B182" s="168" t="s">
        <v>406</v>
      </c>
      <c r="C182" s="249"/>
      <c r="D182" s="304" t="s">
        <v>408</v>
      </c>
      <c r="E182" s="304"/>
      <c r="F182" s="52"/>
      <c r="G182" s="261"/>
      <c r="H182" s="261"/>
    </row>
    <row r="183" spans="1:8" ht="12">
      <c r="A183" s="175">
        <v>1</v>
      </c>
      <c r="B183" s="176"/>
      <c r="C183" s="177"/>
      <c r="D183" s="252" t="s">
        <v>485</v>
      </c>
      <c r="E183" s="253"/>
      <c r="F183" s="55"/>
      <c r="G183" s="261"/>
      <c r="H183" s="261"/>
    </row>
    <row r="184" spans="1:8" ht="12.75" customHeight="1">
      <c r="A184" s="309" t="s">
        <v>434</v>
      </c>
      <c r="B184" s="309"/>
      <c r="C184" s="309"/>
      <c r="D184" s="309"/>
      <c r="E184" s="309"/>
      <c r="F184" s="132">
        <f>+F182+F180+F176+F174+F46+F31</f>
        <v>446280078.98749864</v>
      </c>
      <c r="G184" s="132">
        <f>+G182+G180+G176+G174+G46+G31</f>
        <v>144158619</v>
      </c>
      <c r="H184" s="132">
        <f>+H182+H180+H176+H174+H46+H31</f>
        <v>215715432</v>
      </c>
    </row>
    <row r="185" spans="1:8" ht="12">
      <c r="A185" s="186"/>
      <c r="B185" s="187"/>
      <c r="C185" s="187"/>
      <c r="D185" s="4"/>
      <c r="E185" s="4"/>
      <c r="F185" s="266">
        <f>+F23-F184</f>
        <v>-446280078.98749864</v>
      </c>
      <c r="G185" s="266">
        <f>+G23-G184</f>
        <v>-144158619</v>
      </c>
      <c r="H185" s="266">
        <f>+H23-H184</f>
        <v>-215715432</v>
      </c>
    </row>
    <row r="186" spans="1:7" ht="12">
      <c r="A186" s="186"/>
      <c r="B186" s="187"/>
      <c r="C186" s="187"/>
      <c r="D186" s="4"/>
      <c r="E186" s="4"/>
      <c r="F186" s="266"/>
      <c r="G186" s="266"/>
    </row>
    <row r="187" spans="1:10" ht="12">
      <c r="A187" s="186"/>
      <c r="B187" s="187"/>
      <c r="C187" s="187"/>
      <c r="D187" s="4"/>
      <c r="E187" s="4"/>
      <c r="F187" s="266" t="s">
        <v>486</v>
      </c>
      <c r="G187" s="266" t="s">
        <v>487</v>
      </c>
      <c r="H187" s="266" t="s">
        <v>488</v>
      </c>
      <c r="I187" s="259" t="s">
        <v>489</v>
      </c>
      <c r="J187" s="259" t="s">
        <v>490</v>
      </c>
    </row>
    <row r="188" ht="5.25" customHeight="1">
      <c r="E188" s="4"/>
    </row>
    <row r="189" spans="5:11" ht="13.5">
      <c r="E189" s="189" t="s">
        <v>436</v>
      </c>
      <c r="F189" s="267">
        <f>F32</f>
        <v>359188198.8272</v>
      </c>
      <c r="G189" s="267">
        <f>G32</f>
        <v>116775060</v>
      </c>
      <c r="H189" s="267">
        <f>H32</f>
        <v>170989741</v>
      </c>
      <c r="I189" s="259">
        <f aca="true" t="shared" si="0" ref="I189:I198">+F189+G189+H189</f>
        <v>646952999.8271999</v>
      </c>
      <c r="J189" s="259">
        <v>646953000</v>
      </c>
      <c r="K189" s="259">
        <f>+I189-J189</f>
        <v>-0.17280006408691406</v>
      </c>
    </row>
    <row r="190" spans="5:11" ht="13.5">
      <c r="E190" s="189" t="s">
        <v>437</v>
      </c>
      <c r="F190" s="267">
        <f>+F36+F43</f>
        <v>7854049</v>
      </c>
      <c r="G190" s="267">
        <f>+G36+G43</f>
        <v>6277394</v>
      </c>
      <c r="H190" s="267">
        <f>+H36+H43</f>
        <v>1250557</v>
      </c>
      <c r="I190" s="259">
        <f t="shared" si="0"/>
        <v>15382000</v>
      </c>
      <c r="J190" s="259">
        <v>15382000</v>
      </c>
      <c r="K190" s="259">
        <f>+I190-J190</f>
        <v>0</v>
      </c>
    </row>
    <row r="191" spans="5:11" ht="13.5">
      <c r="E191" s="189" t="s">
        <v>438</v>
      </c>
      <c r="F191" s="267">
        <f>+F147+F148</f>
        <v>17266423</v>
      </c>
      <c r="G191" s="267">
        <f>+G147+G148</f>
        <v>2498659</v>
      </c>
      <c r="H191" s="267">
        <f>+H147+H148</f>
        <v>4036349</v>
      </c>
      <c r="I191" s="259">
        <f t="shared" si="0"/>
        <v>23801431</v>
      </c>
      <c r="J191" s="316">
        <v>33108000</v>
      </c>
      <c r="K191" s="317">
        <f>+I191+I192-J191</f>
        <v>-166286</v>
      </c>
    </row>
    <row r="192" spans="5:11" ht="13.5">
      <c r="E192" s="189" t="s">
        <v>439</v>
      </c>
      <c r="F192" s="267">
        <f>+F149</f>
        <v>7599079</v>
      </c>
      <c r="G192" s="267">
        <f>+G149</f>
        <v>0</v>
      </c>
      <c r="H192" s="267">
        <f>+H149</f>
        <v>1541204</v>
      </c>
      <c r="I192" s="259">
        <f t="shared" si="0"/>
        <v>9140283</v>
      </c>
      <c r="J192" s="316"/>
      <c r="K192" s="317"/>
    </row>
    <row r="193" spans="5:11" ht="13.5">
      <c r="E193" s="189" t="s">
        <v>494</v>
      </c>
      <c r="F193" s="267"/>
      <c r="G193" s="267"/>
      <c r="H193" s="267">
        <f>+H151</f>
        <v>12030</v>
      </c>
      <c r="I193" s="259">
        <f t="shared" si="0"/>
        <v>12030</v>
      </c>
      <c r="K193" s="259">
        <f aca="true" t="shared" si="1" ref="K193:K198">+I193-J193</f>
        <v>12030</v>
      </c>
    </row>
    <row r="194" spans="5:11" ht="13.5">
      <c r="E194" s="189" t="s">
        <v>440</v>
      </c>
      <c r="F194" s="267">
        <f>+F141+F143+F144+F145+F153</f>
        <v>14131856.160298642</v>
      </c>
      <c r="G194" s="267">
        <f>+G141+G143+G144+G145+G153</f>
        <v>2072548</v>
      </c>
      <c r="H194" s="267">
        <f>+H141+H143+H144+H145+H153+H142</f>
        <v>7155114</v>
      </c>
      <c r="I194" s="259">
        <f t="shared" si="0"/>
        <v>23359518.16029864</v>
      </c>
      <c r="J194" s="259">
        <v>28867000</v>
      </c>
      <c r="K194" s="259">
        <f t="shared" si="1"/>
        <v>-5507481.839701358</v>
      </c>
    </row>
    <row r="195" spans="5:11" ht="13.5">
      <c r="E195" s="189" t="s">
        <v>441</v>
      </c>
      <c r="F195" s="267">
        <f>+F157+F158</f>
        <v>0</v>
      </c>
      <c r="G195" s="267">
        <f>+G157+G158</f>
        <v>299192</v>
      </c>
      <c r="H195" s="267">
        <f>+H157+H158</f>
        <v>310648</v>
      </c>
      <c r="I195" s="259">
        <f t="shared" si="0"/>
        <v>609840</v>
      </c>
      <c r="K195" s="259">
        <f t="shared" si="1"/>
        <v>609840</v>
      </c>
    </row>
    <row r="196" spans="5:11" ht="13.5">
      <c r="E196" s="189" t="s">
        <v>442</v>
      </c>
      <c r="F196" s="267">
        <f>+F51+F133+F134+F135+F136</f>
        <v>21702729</v>
      </c>
      <c r="G196" s="267">
        <f>+G51+G133+G134+G135+G136</f>
        <v>9873855</v>
      </c>
      <c r="H196" s="267">
        <f>+H51+H133+H134+H135+H136</f>
        <v>22272759</v>
      </c>
      <c r="I196" s="259">
        <f t="shared" si="0"/>
        <v>53849343</v>
      </c>
      <c r="J196" s="259">
        <v>54500000</v>
      </c>
      <c r="K196" s="259">
        <f t="shared" si="1"/>
        <v>-650657</v>
      </c>
    </row>
    <row r="197" spans="5:11" ht="13.5">
      <c r="E197" s="189" t="s">
        <v>443</v>
      </c>
      <c r="F197" s="267">
        <f>+F49+F57+F61+F65+F69+F71+F78+F93+F96+F126+F137+F138+F155+F159+F160+F162+F176+F131+F174</f>
        <v>18626598</v>
      </c>
      <c r="G197" s="267">
        <f>+G49+G57+G61+G65+G69+G71+G78+G93+G96+G126+G137+G138+G155+G159+G160+G162+G176+G131+G174</f>
        <v>6361911</v>
      </c>
      <c r="H197" s="267">
        <f>+H49+H57+H61+H65+H69+H71+H78+H93+H96+H126+H137+H138+H155+H159+H160+H162+H176+H131+H174</f>
        <v>8147030</v>
      </c>
      <c r="I197" s="259">
        <f t="shared" si="0"/>
        <v>33135539</v>
      </c>
      <c r="J197" s="259">
        <v>44694000</v>
      </c>
      <c r="K197" s="259">
        <f t="shared" si="1"/>
        <v>-11558461</v>
      </c>
    </row>
    <row r="198" spans="4:11" ht="13.5">
      <c r="D198" s="268"/>
      <c r="E198" s="267"/>
      <c r="F198" s="267">
        <f>+F189+F190+F191+F194+F196+F197+F192+F195</f>
        <v>446368932.98749864</v>
      </c>
      <c r="G198" s="267">
        <f>+G189+G190+G191+G194+G196+G197+G192+G195</f>
        <v>144158619</v>
      </c>
      <c r="H198" s="267">
        <f>+H189+H190+H191+H194+H196+H197+H192+H195+H193</f>
        <v>215715432</v>
      </c>
      <c r="I198" s="259">
        <f t="shared" si="0"/>
        <v>806242983.9874986</v>
      </c>
      <c r="J198" s="259">
        <f>SUM(J189:J197)</f>
        <v>823504000</v>
      </c>
      <c r="K198" s="259">
        <f t="shared" si="1"/>
        <v>-17261016.01250136</v>
      </c>
    </row>
    <row r="199" spans="5:8" ht="25.5" customHeight="1">
      <c r="E199" s="4"/>
      <c r="F199" s="259"/>
      <c r="G199" s="259"/>
      <c r="H199" s="259"/>
    </row>
    <row r="200" ht="18" customHeight="1">
      <c r="F200" s="259"/>
    </row>
    <row r="201" ht="12">
      <c r="F201" s="259"/>
    </row>
  </sheetData>
  <sheetProtection selectLockedCells="1" selectUnlockedCells="1"/>
  <mergeCells count="64">
    <mergeCell ref="J191:J192"/>
    <mergeCell ref="K191:K192"/>
    <mergeCell ref="B163:B173"/>
    <mergeCell ref="D174:E174"/>
    <mergeCell ref="D176:E176"/>
    <mergeCell ref="D180:E180"/>
    <mergeCell ref="D182:E182"/>
    <mergeCell ref="A184:E184"/>
    <mergeCell ref="D125:E125"/>
    <mergeCell ref="B127:B130"/>
    <mergeCell ref="B133:B138"/>
    <mergeCell ref="B141:B144"/>
    <mergeCell ref="B147:B148"/>
    <mergeCell ref="B155:B160"/>
    <mergeCell ref="D92:E92"/>
    <mergeCell ref="B94:B95"/>
    <mergeCell ref="D96:E96"/>
    <mergeCell ref="B98:B107"/>
    <mergeCell ref="B110:B113"/>
    <mergeCell ref="B115:B121"/>
    <mergeCell ref="D71:E71"/>
    <mergeCell ref="B73:B76"/>
    <mergeCell ref="D78:E78"/>
    <mergeCell ref="B81:B82"/>
    <mergeCell ref="B84:B85"/>
    <mergeCell ref="B87:B88"/>
    <mergeCell ref="D47:E47"/>
    <mergeCell ref="B49:B50"/>
    <mergeCell ref="B52:B55"/>
    <mergeCell ref="B58:B60"/>
    <mergeCell ref="B62:B64"/>
    <mergeCell ref="B66:B68"/>
    <mergeCell ref="D37:E37"/>
    <mergeCell ref="D41:E41"/>
    <mergeCell ref="A42:A43"/>
    <mergeCell ref="B42:B43"/>
    <mergeCell ref="D44:E44"/>
    <mergeCell ref="D46:E46"/>
    <mergeCell ref="A30:E30"/>
    <mergeCell ref="D31:E31"/>
    <mergeCell ref="D32:E32"/>
    <mergeCell ref="A33:A34"/>
    <mergeCell ref="B33:B34"/>
    <mergeCell ref="D35:E35"/>
    <mergeCell ref="D21:E21"/>
    <mergeCell ref="D22:E22"/>
    <mergeCell ref="A23:E23"/>
    <mergeCell ref="A26:A28"/>
    <mergeCell ref="B26:B28"/>
    <mergeCell ref="C26:C28"/>
    <mergeCell ref="D26:D28"/>
    <mergeCell ref="E26:E28"/>
    <mergeCell ref="D13:E13"/>
    <mergeCell ref="A14:A15"/>
    <mergeCell ref="B14:B15"/>
    <mergeCell ref="C14:C15"/>
    <mergeCell ref="D16:E16"/>
    <mergeCell ref="D18:E18"/>
    <mergeCell ref="A7:A9"/>
    <mergeCell ref="B7:B9"/>
    <mergeCell ref="C7:C9"/>
    <mergeCell ref="D7:D9"/>
    <mergeCell ref="E7:E9"/>
    <mergeCell ref="D11:E11"/>
  </mergeCells>
  <dataValidations count="5">
    <dataValidation type="whole" allowBlank="1" showErrorMessage="1" errorTitle="Upozorenje" error="Niste uneli korektnu vrednost!&#10;Ponovite unos." sqref="F21:F22 F149:F153 H149 F184:H184">
      <formula1>0</formula1>
      <formula2>9999999999999</formula2>
    </dataValidation>
    <dataValidation allowBlank="1" showErrorMessage="1" errorTitle="Upozorenje" error="Niste uneli korektnu vrednost!&#10;Ponovite unos." sqref="G46:H46 H47 H147">
      <formula1>0</formula1>
      <formula2>0</formula2>
    </dataValidation>
    <dataValidation type="whole" allowBlank="1" showErrorMessage="1" errorTitle="Upozorenje" error="Niste uneli korektnu vrednost!&#10;Ponovite unos." sqref="F11:F13 F18:F19 F31:H32 F34:H41 F43:H45 F46:F47 G47 F49:H52 F53:G53 F54:F62 H55 G57:H63 F64:H69 F70:F74 G71:H74 F75:H78 F79:F93 H79:H93 G91:H93 F94:H146 F147:G148 H148 G150:H153 F154:H162 F167:H167 F177:H177 F178:F179 F181:F183">
      <formula1>0</formula1>
      <formula2>999999999</formula2>
    </dataValidation>
    <dataValidation type="whole" allowBlank="1" showErrorMessage="1" errorTitle="Upozorenje" error="Niste uneli korektnu vrednost!&#10;Ponovite unos." sqref="F23">
      <formula1>0</formula1>
      <formula2>99999999999999</formula2>
    </dataValidation>
    <dataValidation type="whole" allowBlank="1" showErrorMessage="1" errorTitle="Upozorenje" error="Niste uneli korektnu vrednost!&#10;Ponovite unos." sqref="F33:H33 F163:H166 F168:H173 F175:H175">
      <formula1>0</formula1>
      <formula2>999999999999</formula2>
    </dataValidation>
  </dataValidations>
  <printOptions/>
  <pageMargins left="0.25" right="0.2" top="0.5" bottom="0.5" header="0.5118055555555555" footer="0.5118055555555555"/>
  <pageSetup horizontalDpi="300" verticalDpi="300" orientation="landscape" scale="8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9"/>
  <sheetViews>
    <sheetView zoomScale="80" zoomScaleNormal="80" zoomScalePageLayoutView="0" workbookViewId="0" topLeftCell="A1">
      <selection activeCell="F73" sqref="F73"/>
    </sheetView>
  </sheetViews>
  <sheetFormatPr defaultColWidth="9.140625" defaultRowHeight="15"/>
  <cols>
    <col min="1" max="1" width="3.28125" style="258" customWidth="1"/>
    <col min="2" max="2" width="8.421875" style="258" customWidth="1"/>
    <col min="3" max="4" width="9.140625" style="258" customWidth="1"/>
    <col min="5" max="5" width="55.8515625" style="258" customWidth="1"/>
    <col min="6" max="6" width="13.57421875" style="258" customWidth="1"/>
    <col min="7" max="7" width="12.7109375" style="258" customWidth="1"/>
    <col min="8" max="8" width="13.140625" style="258" customWidth="1"/>
    <col min="9" max="9" width="10.57421875" style="259" customWidth="1"/>
    <col min="10" max="10" width="10.28125" style="259" customWidth="1"/>
    <col min="11" max="16384" width="9.140625" style="258" customWidth="1"/>
  </cols>
  <sheetData>
    <row r="1" spans="1:5" ht="18" customHeight="1">
      <c r="A1" s="3" t="s">
        <v>491</v>
      </c>
      <c r="B1" s="4"/>
      <c r="C1" s="4"/>
      <c r="D1" s="4"/>
      <c r="E1" s="4"/>
    </row>
    <row r="2" spans="1:5" ht="12">
      <c r="A2" s="5"/>
      <c r="B2" s="4"/>
      <c r="C2" s="4"/>
      <c r="D2" s="4"/>
      <c r="E2" s="4"/>
    </row>
    <row r="3" spans="1:5" ht="8.25" customHeight="1">
      <c r="A3" s="4"/>
      <c r="B3" s="4"/>
      <c r="C3" s="4"/>
      <c r="D3" s="4"/>
      <c r="E3" s="4"/>
    </row>
    <row r="4" spans="1:5" ht="13.5">
      <c r="A4" s="4"/>
      <c r="B4" s="4"/>
      <c r="C4" s="4"/>
      <c r="D4" s="4"/>
      <c r="E4" s="6" t="s">
        <v>449</v>
      </c>
    </row>
    <row r="5" spans="1:5" ht="7.5" customHeight="1">
      <c r="A5" s="4"/>
      <c r="B5" s="4"/>
      <c r="C5" s="4"/>
      <c r="D5" s="4"/>
      <c r="E5" s="4"/>
    </row>
    <row r="6" spans="1:5" ht="12">
      <c r="A6" s="7" t="s">
        <v>2</v>
      </c>
      <c r="B6" s="4"/>
      <c r="C6" s="4"/>
      <c r="D6" s="4"/>
      <c r="E6" s="4"/>
    </row>
    <row r="7" spans="1:6" ht="12" customHeight="1">
      <c r="A7" s="283" t="s">
        <v>3</v>
      </c>
      <c r="B7" s="284" t="s">
        <v>4</v>
      </c>
      <c r="C7" s="283" t="s">
        <v>5</v>
      </c>
      <c r="D7" s="284" t="s">
        <v>6</v>
      </c>
      <c r="E7" s="284" t="s">
        <v>7</v>
      </c>
      <c r="F7" s="8"/>
    </row>
    <row r="8" spans="1:6" ht="12" customHeight="1">
      <c r="A8" s="283"/>
      <c r="B8" s="284"/>
      <c r="C8" s="283"/>
      <c r="D8" s="284"/>
      <c r="E8" s="284"/>
      <c r="F8" s="8"/>
    </row>
    <row r="9" spans="1:6" ht="12">
      <c r="A9" s="283"/>
      <c r="B9" s="284"/>
      <c r="C9" s="283"/>
      <c r="D9" s="284"/>
      <c r="E9" s="284"/>
      <c r="F9" s="8" t="s">
        <v>15</v>
      </c>
    </row>
    <row r="10" spans="1:6" ht="12">
      <c r="A10" s="9">
        <v>0</v>
      </c>
      <c r="B10" s="9">
        <v>1</v>
      </c>
      <c r="C10" s="9">
        <v>2</v>
      </c>
      <c r="D10" s="9">
        <v>3</v>
      </c>
      <c r="E10" s="9">
        <v>4</v>
      </c>
      <c r="F10" s="9">
        <v>8</v>
      </c>
    </row>
    <row r="11" spans="1:6" ht="12" customHeight="1">
      <c r="A11" s="10" t="s">
        <v>17</v>
      </c>
      <c r="B11" s="15" t="s">
        <v>456</v>
      </c>
      <c r="C11" s="15"/>
      <c r="D11" s="287" t="s">
        <v>20</v>
      </c>
      <c r="E11" s="287"/>
      <c r="F11" s="132">
        <f>+F13+F18</f>
        <v>0</v>
      </c>
    </row>
    <row r="12" spans="1:6" ht="30.75" customHeight="1">
      <c r="A12" s="10"/>
      <c r="B12" s="15"/>
      <c r="C12" s="18"/>
      <c r="D12" s="8">
        <v>741411</v>
      </c>
      <c r="E12" s="19" t="s">
        <v>21</v>
      </c>
      <c r="F12" s="132"/>
    </row>
    <row r="13" spans="1:6" ht="12" customHeight="1">
      <c r="A13" s="10">
        <v>1</v>
      </c>
      <c r="B13" s="11">
        <v>742000</v>
      </c>
      <c r="C13" s="20"/>
      <c r="D13" s="287" t="s">
        <v>22</v>
      </c>
      <c r="E13" s="287"/>
      <c r="F13" s="132">
        <f>+F14+F15</f>
        <v>0</v>
      </c>
    </row>
    <row r="14" spans="1:6" ht="19.5" customHeight="1">
      <c r="A14" s="288"/>
      <c r="B14" s="284"/>
      <c r="C14" s="284"/>
      <c r="D14" s="8">
        <v>742121</v>
      </c>
      <c r="E14" s="19" t="s">
        <v>24</v>
      </c>
      <c r="F14" s="198"/>
    </row>
    <row r="15" spans="1:6" ht="17.25" customHeight="1">
      <c r="A15" s="288"/>
      <c r="B15" s="284"/>
      <c r="C15" s="284"/>
      <c r="D15" s="22">
        <v>742122</v>
      </c>
      <c r="E15" s="19" t="s">
        <v>26</v>
      </c>
      <c r="F15" s="198"/>
    </row>
    <row r="16" spans="1:6" ht="15" customHeight="1">
      <c r="A16" s="23">
        <v>2</v>
      </c>
      <c r="B16" s="24">
        <v>744000</v>
      </c>
      <c r="C16" s="25"/>
      <c r="D16" s="286" t="s">
        <v>27</v>
      </c>
      <c r="E16" s="286"/>
      <c r="F16" s="198"/>
    </row>
    <row r="17" spans="1:6" ht="20.25" customHeight="1">
      <c r="A17" s="23"/>
      <c r="B17" s="26"/>
      <c r="C17" s="25"/>
      <c r="D17" s="8">
        <v>744121</v>
      </c>
      <c r="E17" s="19" t="s">
        <v>28</v>
      </c>
      <c r="F17" s="198"/>
    </row>
    <row r="18" spans="1:6" ht="12" customHeight="1">
      <c r="A18" s="10">
        <v>3</v>
      </c>
      <c r="B18" s="11">
        <v>745000</v>
      </c>
      <c r="C18" s="20"/>
      <c r="D18" s="287" t="s">
        <v>29</v>
      </c>
      <c r="E18" s="287"/>
      <c r="F18" s="132">
        <f>+F20+F19</f>
        <v>0</v>
      </c>
    </row>
    <row r="19" spans="1:6" ht="12">
      <c r="A19" s="10"/>
      <c r="B19" s="27"/>
      <c r="C19" s="28"/>
      <c r="D19" s="8">
        <v>745122</v>
      </c>
      <c r="E19" s="12" t="s">
        <v>30</v>
      </c>
      <c r="F19" s="132"/>
    </row>
    <row r="20" spans="1:6" ht="17.25" customHeight="1">
      <c r="A20" s="29"/>
      <c r="B20" s="26"/>
      <c r="C20" s="26"/>
      <c r="D20" s="8" t="s">
        <v>31</v>
      </c>
      <c r="E20" s="12" t="s">
        <v>32</v>
      </c>
      <c r="F20" s="198"/>
    </row>
    <row r="21" spans="1:6" ht="12.75" customHeight="1">
      <c r="A21" s="10" t="s">
        <v>33</v>
      </c>
      <c r="B21" s="40" t="s">
        <v>38</v>
      </c>
      <c r="C21" s="40"/>
      <c r="D21" s="287" t="s">
        <v>39</v>
      </c>
      <c r="E21" s="287"/>
      <c r="F21" s="270"/>
    </row>
    <row r="22" spans="1:6" ht="12" customHeight="1">
      <c r="A22" s="10" t="s">
        <v>37</v>
      </c>
      <c r="B22" s="11">
        <v>791111</v>
      </c>
      <c r="C22" s="20"/>
      <c r="D22" s="287" t="s">
        <v>41</v>
      </c>
      <c r="E22" s="287"/>
      <c r="F22" s="205"/>
    </row>
    <row r="23" spans="1:6" ht="12.75" customHeight="1">
      <c r="A23" s="290" t="s">
        <v>457</v>
      </c>
      <c r="B23" s="290"/>
      <c r="C23" s="290"/>
      <c r="D23" s="290"/>
      <c r="E23" s="290"/>
      <c r="F23" s="52">
        <f>+F11+F21+F22</f>
        <v>0</v>
      </c>
    </row>
    <row r="24" ht="6" customHeight="1"/>
    <row r="25" spans="1:8" ht="13.5">
      <c r="A25" s="48" t="s">
        <v>46</v>
      </c>
      <c r="B25" s="49"/>
      <c r="C25" s="49"/>
      <c r="D25" s="4"/>
      <c r="E25" s="4"/>
      <c r="F25" s="258" t="s">
        <v>486</v>
      </c>
      <c r="G25" s="258" t="s">
        <v>487</v>
      </c>
      <c r="H25" s="258" t="s">
        <v>488</v>
      </c>
    </row>
    <row r="26" spans="1:6" ht="12" customHeight="1">
      <c r="A26" s="291" t="s">
        <v>3</v>
      </c>
      <c r="B26" s="292" t="s">
        <v>47</v>
      </c>
      <c r="C26" s="293" t="s">
        <v>5</v>
      </c>
      <c r="D26" s="294" t="s">
        <v>6</v>
      </c>
      <c r="E26" s="284" t="s">
        <v>7</v>
      </c>
      <c r="F26" s="22"/>
    </row>
    <row r="27" spans="1:6" ht="12" customHeight="1">
      <c r="A27" s="291"/>
      <c r="B27" s="292"/>
      <c r="C27" s="293"/>
      <c r="D27" s="294"/>
      <c r="E27" s="284"/>
      <c r="F27" s="36"/>
    </row>
    <row r="28" spans="1:6" ht="12">
      <c r="A28" s="291"/>
      <c r="B28" s="292"/>
      <c r="C28" s="293"/>
      <c r="D28" s="294"/>
      <c r="E28" s="284"/>
      <c r="F28" s="8" t="s">
        <v>15</v>
      </c>
    </row>
    <row r="29" spans="1:6" ht="12">
      <c r="A29" s="9">
        <v>0</v>
      </c>
      <c r="B29" s="9">
        <v>1</v>
      </c>
      <c r="C29" s="9">
        <v>2</v>
      </c>
      <c r="D29" s="9">
        <v>3</v>
      </c>
      <c r="E29" s="9">
        <v>4</v>
      </c>
      <c r="F29" s="9">
        <v>8</v>
      </c>
    </row>
    <row r="30" spans="1:6" ht="12" customHeight="1">
      <c r="A30" s="296" t="s">
        <v>50</v>
      </c>
      <c r="B30" s="296"/>
      <c r="C30" s="296"/>
      <c r="D30" s="296"/>
      <c r="E30" s="296"/>
      <c r="F30" s="261"/>
    </row>
    <row r="31" spans="1:8" ht="12.75" customHeight="1">
      <c r="A31" s="23" t="s">
        <v>17</v>
      </c>
      <c r="B31" s="51">
        <v>410000</v>
      </c>
      <c r="C31" s="51"/>
      <c r="D31" s="313" t="s">
        <v>51</v>
      </c>
      <c r="E31" s="313"/>
      <c r="F31" s="52">
        <f>+F32+F35+F37+F41+F44</f>
        <v>367042247.8272</v>
      </c>
      <c r="G31" s="52">
        <f>+G32+G35+G37+G41+G44</f>
        <v>123052454</v>
      </c>
      <c r="H31" s="52">
        <f>+H32+H35+H37+H41+H44</f>
        <v>172240298</v>
      </c>
    </row>
    <row r="32" spans="1:8" ht="12.75" customHeight="1">
      <c r="A32" s="54">
        <v>1</v>
      </c>
      <c r="B32" s="11">
        <v>411000</v>
      </c>
      <c r="C32" s="20"/>
      <c r="D32" s="287" t="s">
        <v>52</v>
      </c>
      <c r="E32" s="287"/>
      <c r="F32" s="55">
        <f>+F33+F34</f>
        <v>359188198.8272</v>
      </c>
      <c r="G32" s="55">
        <f>+G33+G34</f>
        <v>116775060</v>
      </c>
      <c r="H32" s="55">
        <f>+H33+H34</f>
        <v>170989741</v>
      </c>
    </row>
    <row r="33" spans="1:8" ht="12">
      <c r="A33" s="298"/>
      <c r="B33" s="299"/>
      <c r="C33" s="56" t="s">
        <v>53</v>
      </c>
      <c r="D33" s="8">
        <v>411100</v>
      </c>
      <c r="E33" s="19" t="s">
        <v>458</v>
      </c>
      <c r="F33" s="222">
        <f>305310173-240</f>
        <v>305309933</v>
      </c>
      <c r="G33" s="222">
        <v>99258801</v>
      </c>
      <c r="H33" s="222">
        <v>145341279.85</v>
      </c>
    </row>
    <row r="34" spans="1:8" ht="16.5" customHeight="1">
      <c r="A34" s="298"/>
      <c r="B34" s="299"/>
      <c r="C34" s="56" t="s">
        <v>54</v>
      </c>
      <c r="D34" s="8">
        <v>412000</v>
      </c>
      <c r="E34" s="19" t="s">
        <v>55</v>
      </c>
      <c r="F34" s="216">
        <v>53878265.8272</v>
      </c>
      <c r="G34" s="216">
        <v>17516259</v>
      </c>
      <c r="H34" s="216">
        <v>25648461.15</v>
      </c>
    </row>
    <row r="35" spans="1:8" ht="14.25" customHeight="1">
      <c r="A35" s="54">
        <v>2</v>
      </c>
      <c r="B35" s="11">
        <v>413000</v>
      </c>
      <c r="C35" s="20"/>
      <c r="D35" s="303" t="s">
        <v>60</v>
      </c>
      <c r="E35" s="303"/>
      <c r="F35" s="55">
        <f>+F36</f>
        <v>0</v>
      </c>
      <c r="G35" s="55">
        <f>+G36</f>
        <v>0</v>
      </c>
      <c r="H35" s="55">
        <f>+H36</f>
        <v>0</v>
      </c>
    </row>
    <row r="36" spans="1:8" ht="12.75" customHeight="1">
      <c r="A36" s="56"/>
      <c r="B36" s="4"/>
      <c r="C36" s="56" t="s">
        <v>61</v>
      </c>
      <c r="D36" s="8">
        <v>413151</v>
      </c>
      <c r="E36" s="19" t="s">
        <v>62</v>
      </c>
      <c r="F36" s="222"/>
      <c r="G36" s="222"/>
      <c r="H36" s="222"/>
    </row>
    <row r="37" spans="1:8" ht="12" customHeight="1">
      <c r="A37" s="54">
        <v>3</v>
      </c>
      <c r="B37" s="11">
        <v>414000</v>
      </c>
      <c r="C37" s="20"/>
      <c r="D37" s="303" t="s">
        <v>63</v>
      </c>
      <c r="E37" s="303"/>
      <c r="F37" s="55">
        <f>+F38+F39+F40</f>
        <v>0</v>
      </c>
      <c r="G37" s="55">
        <f>+G38+G39+G40</f>
        <v>0</v>
      </c>
      <c r="H37" s="55">
        <f>+H38+H39+H40</f>
        <v>0</v>
      </c>
    </row>
    <row r="38" spans="1:8" ht="12">
      <c r="A38" s="121"/>
      <c r="B38" s="72"/>
      <c r="C38" s="54" t="s">
        <v>64</v>
      </c>
      <c r="D38" s="8">
        <v>414311</v>
      </c>
      <c r="E38" s="19" t="s">
        <v>65</v>
      </c>
      <c r="F38" s="222"/>
      <c r="G38" s="222"/>
      <c r="H38" s="222"/>
    </row>
    <row r="39" spans="1:8" ht="12">
      <c r="A39" s="123"/>
      <c r="B39" s="75"/>
      <c r="C39" s="54" t="s">
        <v>66</v>
      </c>
      <c r="D39" s="8">
        <v>414314</v>
      </c>
      <c r="E39" s="19" t="s">
        <v>67</v>
      </c>
      <c r="F39" s="222"/>
      <c r="G39" s="222"/>
      <c r="H39" s="222"/>
    </row>
    <row r="40" spans="1:8" ht="22.5" customHeight="1">
      <c r="A40" s="136"/>
      <c r="B40" s="79"/>
      <c r="C40" s="54" t="s">
        <v>68</v>
      </c>
      <c r="D40" s="8">
        <v>414400</v>
      </c>
      <c r="E40" s="227" t="s">
        <v>69</v>
      </c>
      <c r="F40" s="222"/>
      <c r="G40" s="222"/>
      <c r="H40" s="222"/>
    </row>
    <row r="41" spans="1:8" ht="12" customHeight="1">
      <c r="A41" s="54">
        <v>4</v>
      </c>
      <c r="B41" s="11">
        <v>415000</v>
      </c>
      <c r="C41" s="20"/>
      <c r="D41" s="303" t="s">
        <v>73</v>
      </c>
      <c r="E41" s="303"/>
      <c r="F41" s="132">
        <f>+F42+F43</f>
        <v>7854049</v>
      </c>
      <c r="G41" s="132">
        <f>+G42+G43</f>
        <v>6277394</v>
      </c>
      <c r="H41" s="132">
        <f>+H42+H43</f>
        <v>1250557</v>
      </c>
    </row>
    <row r="42" spans="1:8" ht="12">
      <c r="A42" s="314"/>
      <c r="B42" s="299"/>
      <c r="C42" s="81" t="s">
        <v>74</v>
      </c>
      <c r="D42" s="82">
        <v>415111</v>
      </c>
      <c r="E42" s="83" t="s">
        <v>75</v>
      </c>
      <c r="F42" s="93"/>
      <c r="G42" s="93"/>
      <c r="H42" s="93"/>
    </row>
    <row r="43" spans="1:8" ht="12">
      <c r="A43" s="314"/>
      <c r="B43" s="299"/>
      <c r="C43" s="186" t="s">
        <v>76</v>
      </c>
      <c r="D43" s="8">
        <v>415112</v>
      </c>
      <c r="E43" s="19" t="s">
        <v>77</v>
      </c>
      <c r="F43" s="222">
        <v>7854049</v>
      </c>
      <c r="G43" s="222">
        <v>6277394</v>
      </c>
      <c r="H43" s="222">
        <v>1250557</v>
      </c>
    </row>
    <row r="44" spans="1:8" ht="12" customHeight="1">
      <c r="A44" s="54">
        <v>5</v>
      </c>
      <c r="B44" s="11">
        <v>416000</v>
      </c>
      <c r="C44" s="20"/>
      <c r="D44" s="303" t="s">
        <v>80</v>
      </c>
      <c r="E44" s="303"/>
      <c r="F44" s="216"/>
      <c r="G44" s="216"/>
      <c r="H44" s="216"/>
    </row>
    <row r="45" spans="1:8" ht="12">
      <c r="A45" s="54"/>
      <c r="B45" s="92"/>
      <c r="C45" s="56" t="s">
        <v>81</v>
      </c>
      <c r="D45" s="8">
        <v>416111</v>
      </c>
      <c r="E45" s="19" t="s">
        <v>82</v>
      </c>
      <c r="F45" s="230"/>
      <c r="G45" s="230"/>
      <c r="H45" s="230"/>
    </row>
    <row r="46" spans="1:8" ht="12" customHeight="1">
      <c r="A46" s="10" t="s">
        <v>33</v>
      </c>
      <c r="B46" s="94">
        <v>420000</v>
      </c>
      <c r="C46" s="94"/>
      <c r="D46" s="304" t="s">
        <v>85</v>
      </c>
      <c r="E46" s="304"/>
      <c r="F46" s="52">
        <f>+F47+F71+F78+F92+F96+F124</f>
        <v>82928082.16575643</v>
      </c>
      <c r="G46" s="52">
        <f>+G47+G71+G78+G92+G96+G124</f>
        <v>25227664.322673425</v>
      </c>
      <c r="H46" s="52">
        <f>+H47+H71+H78+H92+H96+H124</f>
        <v>53133324.6083993</v>
      </c>
    </row>
    <row r="47" spans="1:8" ht="12" customHeight="1">
      <c r="A47" s="10">
        <v>1</v>
      </c>
      <c r="B47" s="97">
        <v>421000</v>
      </c>
      <c r="C47" s="98"/>
      <c r="D47" s="303" t="s">
        <v>86</v>
      </c>
      <c r="E47" s="303"/>
      <c r="F47" s="233">
        <f>+F48+F51+F57+F61+F65+F69+F70</f>
        <v>15880623.787725827</v>
      </c>
      <c r="G47" s="233">
        <f>+G48+G51+G57+G61+G65+G69+G70</f>
        <v>10188640.118480068</v>
      </c>
      <c r="H47" s="233">
        <f>+H48+H51+H57+H61+H65+H69</f>
        <v>22282986.798004802</v>
      </c>
    </row>
    <row r="48" spans="1:11" ht="12">
      <c r="A48" s="72"/>
      <c r="B48" s="4"/>
      <c r="C48" s="15" t="s">
        <v>87</v>
      </c>
      <c r="D48" s="11">
        <v>421100</v>
      </c>
      <c r="E48" s="101" t="s">
        <v>88</v>
      </c>
      <c r="F48" s="236">
        <f>+F49+F50</f>
        <v>1051680</v>
      </c>
      <c r="G48" s="236">
        <f>+G49+G50</f>
        <v>333200</v>
      </c>
      <c r="H48" s="236">
        <f>+H49+H50</f>
        <v>496720</v>
      </c>
      <c r="K48" s="262"/>
    </row>
    <row r="49" spans="1:11" ht="12">
      <c r="A49" s="75"/>
      <c r="B49" s="305"/>
      <c r="C49" s="103" t="s">
        <v>89</v>
      </c>
      <c r="D49" s="8">
        <v>421111</v>
      </c>
      <c r="E49" s="19" t="s">
        <v>90</v>
      </c>
      <c r="F49" s="230">
        <v>1051680</v>
      </c>
      <c r="G49" s="230">
        <v>333200</v>
      </c>
      <c r="H49" s="230">
        <v>496720</v>
      </c>
      <c r="K49" s="262"/>
    </row>
    <row r="50" spans="1:11" ht="12">
      <c r="A50" s="79"/>
      <c r="B50" s="305"/>
      <c r="C50" s="103" t="s">
        <v>91</v>
      </c>
      <c r="D50" s="8">
        <v>421121</v>
      </c>
      <c r="E50" s="19" t="s">
        <v>92</v>
      </c>
      <c r="F50" s="230"/>
      <c r="G50" s="230"/>
      <c r="H50" s="230"/>
      <c r="I50" s="262"/>
      <c r="K50" s="262"/>
    </row>
    <row r="51" spans="1:9" ht="12">
      <c r="A51" s="75"/>
      <c r="B51" s="4"/>
      <c r="C51" s="15" t="s">
        <v>93</v>
      </c>
      <c r="D51" s="11">
        <v>421200</v>
      </c>
      <c r="E51" s="104" t="s">
        <v>94</v>
      </c>
      <c r="F51" s="140">
        <f>+F52+F55+F54+F56+F53</f>
        <v>10242074</v>
      </c>
      <c r="G51" s="140">
        <f>+G52+G55+G54+G56+G53</f>
        <v>7229828</v>
      </c>
      <c r="H51" s="140">
        <f>+H52+H55+H54+H56+H53</f>
        <v>18541836</v>
      </c>
      <c r="I51" s="262"/>
    </row>
    <row r="52" spans="1:9" ht="12">
      <c r="A52" s="75"/>
      <c r="B52" s="306"/>
      <c r="C52" s="103" t="s">
        <v>95</v>
      </c>
      <c r="D52" s="8">
        <v>421211</v>
      </c>
      <c r="E52" s="19" t="s">
        <v>96</v>
      </c>
      <c r="F52" s="222">
        <f>4417394+100000</f>
        <v>4517394</v>
      </c>
      <c r="G52" s="222">
        <f>2308947+632956+50000</f>
        <v>2991903</v>
      </c>
      <c r="H52" s="222">
        <f>5749944+1791372+80000</f>
        <v>7621316</v>
      </c>
      <c r="I52" s="262"/>
    </row>
    <row r="53" spans="1:9" ht="12">
      <c r="A53" s="75"/>
      <c r="B53" s="306"/>
      <c r="C53" s="103"/>
      <c r="D53" s="8">
        <v>421222</v>
      </c>
      <c r="E53" s="19" t="s">
        <v>459</v>
      </c>
      <c r="F53" s="222"/>
      <c r="G53" s="222">
        <f>1117766+1417334+50000</f>
        <v>2585100</v>
      </c>
      <c r="H53" s="261"/>
      <c r="I53" s="262"/>
    </row>
    <row r="54" spans="1:9" ht="12">
      <c r="A54" s="75"/>
      <c r="B54" s="306"/>
      <c r="C54" s="103" t="s">
        <v>97</v>
      </c>
      <c r="D54" s="8">
        <v>421221</v>
      </c>
      <c r="E54" s="19" t="s">
        <v>460</v>
      </c>
      <c r="F54" s="222">
        <f>3703997+104790</f>
        <v>3808787</v>
      </c>
      <c r="G54" s="261"/>
      <c r="H54" s="261"/>
      <c r="I54" s="262"/>
    </row>
    <row r="55" spans="1:8" ht="12">
      <c r="A55" s="75"/>
      <c r="B55" s="306"/>
      <c r="C55" s="103" t="s">
        <v>99</v>
      </c>
      <c r="D55" s="8">
        <v>421224</v>
      </c>
      <c r="E55" s="19" t="s">
        <v>100</v>
      </c>
      <c r="F55" s="222">
        <v>1384000</v>
      </c>
      <c r="G55" s="263"/>
      <c r="H55" s="222">
        <f>5880302+4997437+42781</f>
        <v>10920520</v>
      </c>
    </row>
    <row r="56" spans="1:8" ht="12">
      <c r="A56" s="75"/>
      <c r="B56" s="109"/>
      <c r="C56" s="103" t="s">
        <v>461</v>
      </c>
      <c r="D56" s="8">
        <v>421225</v>
      </c>
      <c r="E56" s="58" t="s">
        <v>218</v>
      </c>
      <c r="F56" s="222">
        <v>531893</v>
      </c>
      <c r="G56" s="263">
        <v>1652825</v>
      </c>
      <c r="H56" s="261"/>
    </row>
    <row r="57" spans="1:8" ht="12">
      <c r="A57" s="75"/>
      <c r="B57" s="4"/>
      <c r="C57" s="107" t="s">
        <v>101</v>
      </c>
      <c r="D57" s="11">
        <v>421300</v>
      </c>
      <c r="E57" s="101" t="s">
        <v>102</v>
      </c>
      <c r="F57" s="146">
        <f>+F58+F59+F60</f>
        <v>1738779.0843007294</v>
      </c>
      <c r="G57" s="146">
        <f>+G58+G59+G60</f>
        <v>1403847.0061728247</v>
      </c>
      <c r="H57" s="146">
        <f>+H58+H59+H60</f>
        <v>1650919.4784485567</v>
      </c>
    </row>
    <row r="58" spans="1:8" ht="12">
      <c r="A58" s="75"/>
      <c r="B58" s="306"/>
      <c r="C58" s="103" t="s">
        <v>103</v>
      </c>
      <c r="D58" s="8">
        <v>421311</v>
      </c>
      <c r="E58" s="19" t="s">
        <v>104</v>
      </c>
      <c r="F58" s="222">
        <v>1126728.1789160068</v>
      </c>
      <c r="G58" s="222">
        <v>383785.67486483476</v>
      </c>
      <c r="H58" s="222">
        <v>1132680.4889798635</v>
      </c>
    </row>
    <row r="59" spans="1:8" ht="12">
      <c r="A59" s="75"/>
      <c r="B59" s="306"/>
      <c r="C59" s="103" t="s">
        <v>462</v>
      </c>
      <c r="D59" s="8">
        <v>421324</v>
      </c>
      <c r="E59" s="19" t="s">
        <v>108</v>
      </c>
      <c r="F59" s="222">
        <v>473328.75651490304</v>
      </c>
      <c r="G59" s="222">
        <v>871650.3914310045</v>
      </c>
      <c r="H59" s="222">
        <v>247433.6697790103</v>
      </c>
    </row>
    <row r="60" spans="1:8" ht="12">
      <c r="A60" s="75"/>
      <c r="B60" s="306"/>
      <c r="C60" s="103" t="s">
        <v>107</v>
      </c>
      <c r="D60" s="8">
        <v>421391</v>
      </c>
      <c r="E60" s="19" t="s">
        <v>463</v>
      </c>
      <c r="F60" s="222">
        <v>138722.14886981956</v>
      </c>
      <c r="G60" s="222">
        <v>148410.9398769852</v>
      </c>
      <c r="H60" s="222">
        <v>270805.31968968303</v>
      </c>
    </row>
    <row r="61" spans="1:8" ht="12">
      <c r="A61" s="75"/>
      <c r="B61" s="4"/>
      <c r="C61" s="107" t="s">
        <v>113</v>
      </c>
      <c r="D61" s="11">
        <v>421400</v>
      </c>
      <c r="E61" s="101" t="s">
        <v>114</v>
      </c>
      <c r="F61" s="146">
        <f>+F62+F63+F64</f>
        <v>1186355.2808848135</v>
      </c>
      <c r="G61" s="146">
        <f>+G62+G63+G64</f>
        <v>460263.1590397593</v>
      </c>
      <c r="H61" s="146">
        <f>+H62+H63+H64</f>
        <v>459952.1882772753</v>
      </c>
    </row>
    <row r="62" spans="1:8" ht="12">
      <c r="A62" s="75"/>
      <c r="B62" s="305"/>
      <c r="C62" s="103" t="s">
        <v>115</v>
      </c>
      <c r="D62" s="8">
        <v>421411</v>
      </c>
      <c r="E62" s="19" t="s">
        <v>116</v>
      </c>
      <c r="F62" s="230">
        <v>1091396.884428913</v>
      </c>
      <c r="G62" s="230">
        <v>458412.2841742111</v>
      </c>
      <c r="H62" s="230">
        <v>435846.5721087133</v>
      </c>
    </row>
    <row r="63" spans="1:8" ht="12">
      <c r="A63" s="75"/>
      <c r="B63" s="305"/>
      <c r="C63" s="103" t="s">
        <v>117</v>
      </c>
      <c r="D63" s="8">
        <v>421414</v>
      </c>
      <c r="E63" s="19" t="s">
        <v>118</v>
      </c>
      <c r="F63" s="258">
        <v>0</v>
      </c>
      <c r="G63" s="230">
        <v>0</v>
      </c>
      <c r="H63" s="230">
        <v>0</v>
      </c>
    </row>
    <row r="64" spans="1:8" ht="12">
      <c r="A64" s="79"/>
      <c r="B64" s="305"/>
      <c r="C64" s="103" t="s">
        <v>119</v>
      </c>
      <c r="D64" s="8" t="s">
        <v>464</v>
      </c>
      <c r="E64" s="19" t="s">
        <v>465</v>
      </c>
      <c r="F64" s="230">
        <v>94958.39645590042</v>
      </c>
      <c r="G64" s="230">
        <v>1850.8748655482239</v>
      </c>
      <c r="H64" s="230">
        <v>24105.616168561988</v>
      </c>
    </row>
    <row r="65" spans="1:8" ht="12">
      <c r="A65" s="75"/>
      <c r="B65" s="4"/>
      <c r="C65" s="107" t="s">
        <v>129</v>
      </c>
      <c r="D65" s="11">
        <v>421500</v>
      </c>
      <c r="E65" s="101" t="s">
        <v>130</v>
      </c>
      <c r="F65" s="146">
        <f>+F66+F67+F68</f>
        <v>1257060.905910901</v>
      </c>
      <c r="G65" s="146">
        <f>+G66+G67+G68</f>
        <v>681639.9103685878</v>
      </c>
      <c r="H65" s="146">
        <f>+H66+H67+H68</f>
        <v>1023501.8318908571</v>
      </c>
    </row>
    <row r="66" spans="1:8" ht="12">
      <c r="A66" s="75"/>
      <c r="B66" s="305"/>
      <c r="C66" s="103" t="s">
        <v>131</v>
      </c>
      <c r="D66" s="8">
        <v>421512</v>
      </c>
      <c r="E66" s="19" t="s">
        <v>132</v>
      </c>
      <c r="F66" s="230">
        <v>476058.2855035893</v>
      </c>
      <c r="G66" s="230">
        <v>252943.79043495652</v>
      </c>
      <c r="H66" s="230">
        <v>295366.13608549366</v>
      </c>
    </row>
    <row r="67" spans="1:8" ht="12">
      <c r="A67" s="75"/>
      <c r="B67" s="305"/>
      <c r="C67" s="103" t="s">
        <v>133</v>
      </c>
      <c r="D67" s="8">
        <v>421519</v>
      </c>
      <c r="E67" s="19" t="s">
        <v>134</v>
      </c>
      <c r="F67" s="230">
        <v>558113.6911262065</v>
      </c>
      <c r="G67" s="230">
        <v>356786.42385757255</v>
      </c>
      <c r="H67" s="230">
        <v>631000.4369768192</v>
      </c>
    </row>
    <row r="68" spans="1:8" ht="12">
      <c r="A68" s="75"/>
      <c r="B68" s="305"/>
      <c r="C68" s="103" t="s">
        <v>135</v>
      </c>
      <c r="D68" s="8">
        <v>421521</v>
      </c>
      <c r="E68" s="19" t="s">
        <v>136</v>
      </c>
      <c r="F68" s="230">
        <v>222888.92928110526</v>
      </c>
      <c r="G68" s="230">
        <v>71909.69607605875</v>
      </c>
      <c r="H68" s="230">
        <v>97135.25882854428</v>
      </c>
    </row>
    <row r="69" spans="1:8" ht="12">
      <c r="A69" s="75"/>
      <c r="B69" s="93"/>
      <c r="C69" s="107" t="s">
        <v>139</v>
      </c>
      <c r="D69" s="11">
        <v>421600</v>
      </c>
      <c r="E69" s="101" t="s">
        <v>140</v>
      </c>
      <c r="F69" s="146">
        <v>404674.5166293807</v>
      </c>
      <c r="G69" s="146">
        <v>79862.0428988956</v>
      </c>
      <c r="H69" s="146">
        <v>110057.299388114</v>
      </c>
    </row>
    <row r="70" spans="1:7" ht="12">
      <c r="A70" s="79"/>
      <c r="B70" s="93"/>
      <c r="C70" s="107" t="s">
        <v>141</v>
      </c>
      <c r="D70" s="11">
        <v>421900</v>
      </c>
      <c r="E70" s="101" t="s">
        <v>143</v>
      </c>
      <c r="F70" s="230"/>
      <c r="G70" s="261"/>
    </row>
    <row r="71" spans="1:8" ht="12" customHeight="1">
      <c r="A71" s="10">
        <v>2</v>
      </c>
      <c r="B71" s="11">
        <v>422000</v>
      </c>
      <c r="C71" s="8"/>
      <c r="D71" s="287" t="s">
        <v>144</v>
      </c>
      <c r="E71" s="287"/>
      <c r="F71" s="132">
        <f>+F72+F77</f>
        <v>998971.0944211867</v>
      </c>
      <c r="G71" s="132">
        <f>+G72+G77</f>
        <v>108278.55559717127</v>
      </c>
      <c r="H71" s="132">
        <f>+H72+H77</f>
        <v>249810.8265213087</v>
      </c>
    </row>
    <row r="72" spans="1:8" ht="12">
      <c r="A72" s="121"/>
      <c r="B72" s="4"/>
      <c r="C72" s="102" t="s">
        <v>145</v>
      </c>
      <c r="D72" s="11">
        <v>422100</v>
      </c>
      <c r="E72" s="122" t="s">
        <v>146</v>
      </c>
      <c r="F72" s="146">
        <f>+F73+F74+F75</f>
        <v>998971.0944211867</v>
      </c>
      <c r="G72" s="146">
        <f>+G73+G74+G75</f>
        <v>108278.55559717127</v>
      </c>
      <c r="H72" s="146">
        <f>+H73+H74+H75</f>
        <v>249810.8265213087</v>
      </c>
    </row>
    <row r="73" spans="1:8" ht="12">
      <c r="A73" s="123"/>
      <c r="B73" s="305"/>
      <c r="C73" s="103" t="s">
        <v>147</v>
      </c>
      <c r="D73" s="8">
        <v>422111</v>
      </c>
      <c r="E73" s="19" t="s">
        <v>466</v>
      </c>
      <c r="F73" s="230">
        <v>903757.0898994561</v>
      </c>
      <c r="G73" s="230">
        <v>67952.53036544185</v>
      </c>
      <c r="H73" s="230">
        <v>166259.82460360287</v>
      </c>
    </row>
    <row r="74" spans="1:8" ht="12">
      <c r="A74" s="123"/>
      <c r="B74" s="305"/>
      <c r="C74" s="103" t="s">
        <v>149</v>
      </c>
      <c r="D74" s="8">
        <v>422121</v>
      </c>
      <c r="E74" s="19" t="s">
        <v>150</v>
      </c>
      <c r="F74" s="230">
        <v>95214.00452173059</v>
      </c>
      <c r="G74" s="230">
        <v>40326.02523172943</v>
      </c>
      <c r="H74" s="230">
        <v>83106.38774225369</v>
      </c>
    </row>
    <row r="75" spans="1:8" ht="12">
      <c r="A75" s="123"/>
      <c r="B75" s="305"/>
      <c r="C75" s="103" t="s">
        <v>151</v>
      </c>
      <c r="D75" s="8" t="s">
        <v>152</v>
      </c>
      <c r="E75" s="19" t="s">
        <v>153</v>
      </c>
      <c r="F75" s="230"/>
      <c r="G75" s="230"/>
      <c r="H75" s="230">
        <v>444.6141754521534</v>
      </c>
    </row>
    <row r="76" spans="1:8" ht="12">
      <c r="A76" s="123"/>
      <c r="B76" s="305"/>
      <c r="C76" s="103" t="s">
        <v>467</v>
      </c>
      <c r="D76" s="8">
        <v>422200</v>
      </c>
      <c r="E76" s="19" t="s">
        <v>155</v>
      </c>
      <c r="F76" s="230"/>
      <c r="G76" s="230"/>
      <c r="H76" s="230"/>
    </row>
    <row r="77" spans="1:8" ht="12">
      <c r="A77" s="136"/>
      <c r="B77" s="4"/>
      <c r="C77" s="102" t="s">
        <v>468</v>
      </c>
      <c r="D77" s="11">
        <v>422300</v>
      </c>
      <c r="E77" s="122" t="s">
        <v>157</v>
      </c>
      <c r="F77" s="146"/>
      <c r="G77" s="146"/>
      <c r="H77" s="146"/>
    </row>
    <row r="78" spans="1:8" ht="16.5" customHeight="1">
      <c r="A78" s="54">
        <v>3</v>
      </c>
      <c r="B78" s="11">
        <v>423000</v>
      </c>
      <c r="C78" s="8"/>
      <c r="D78" s="287" t="s">
        <v>162</v>
      </c>
      <c r="E78" s="287"/>
      <c r="F78" s="132">
        <f>+F79+F80+F83+F86+F89+F90+F91</f>
        <v>4931636.815987657</v>
      </c>
      <c r="G78" s="132">
        <f>+G79+G80+G83+G86+G89+G90+G91</f>
        <v>80726.89328536486</v>
      </c>
      <c r="H78" s="132">
        <f>+H79+H80+H83+H86+H89+H90+H91</f>
        <v>553356.4519615492</v>
      </c>
    </row>
    <row r="79" spans="1:8" ht="15.75" customHeight="1">
      <c r="A79" s="121"/>
      <c r="B79" s="93"/>
      <c r="C79" s="102" t="s">
        <v>163</v>
      </c>
      <c r="D79" s="11">
        <v>423100</v>
      </c>
      <c r="E79" s="122" t="s">
        <v>164</v>
      </c>
      <c r="F79" s="146"/>
      <c r="G79" s="261"/>
      <c r="H79" s="146"/>
    </row>
    <row r="80" spans="1:8" ht="15.75" customHeight="1">
      <c r="A80" s="123"/>
      <c r="B80" s="93"/>
      <c r="C80" s="102" t="s">
        <v>167</v>
      </c>
      <c r="D80" s="11">
        <v>423200</v>
      </c>
      <c r="E80" s="122" t="s">
        <v>168</v>
      </c>
      <c r="F80" s="146">
        <f>+F81+F82</f>
        <v>2773453.1482026917</v>
      </c>
      <c r="G80" s="261"/>
      <c r="H80" s="146">
        <f>+H81+H82</f>
        <v>0</v>
      </c>
    </row>
    <row r="81" spans="1:8" ht="15.75" customHeight="1">
      <c r="A81" s="123"/>
      <c r="B81" s="305"/>
      <c r="C81" s="103" t="s">
        <v>169</v>
      </c>
      <c r="D81" s="8">
        <v>423211</v>
      </c>
      <c r="E81" s="19" t="s">
        <v>469</v>
      </c>
      <c r="F81" s="230"/>
      <c r="G81" s="261"/>
      <c r="H81" s="230"/>
    </row>
    <row r="82" spans="1:8" ht="14.25" customHeight="1">
      <c r="A82" s="123"/>
      <c r="B82" s="305"/>
      <c r="C82" s="103" t="s">
        <v>171</v>
      </c>
      <c r="D82" s="8">
        <v>423221</v>
      </c>
      <c r="E82" s="19" t="s">
        <v>470</v>
      </c>
      <c r="F82" s="230">
        <v>2773453.1482026917</v>
      </c>
      <c r="G82" s="261"/>
      <c r="H82" s="230"/>
    </row>
    <row r="83" spans="1:8" ht="15" customHeight="1">
      <c r="A83" s="123"/>
      <c r="B83" s="4"/>
      <c r="C83" s="102" t="s">
        <v>175</v>
      </c>
      <c r="D83" s="11">
        <v>423300</v>
      </c>
      <c r="E83" s="122" t="s">
        <v>176</v>
      </c>
      <c r="F83" s="146">
        <f>+F84+F85</f>
        <v>0</v>
      </c>
      <c r="G83" s="261"/>
      <c r="H83" s="146">
        <f>+H84+H85</f>
        <v>28229.471457279582</v>
      </c>
    </row>
    <row r="84" spans="1:8" ht="12">
      <c r="A84" s="123"/>
      <c r="B84" s="305"/>
      <c r="C84" s="103" t="s">
        <v>177</v>
      </c>
      <c r="D84" s="8">
        <v>423311</v>
      </c>
      <c r="E84" s="19" t="s">
        <v>178</v>
      </c>
      <c r="F84" s="230"/>
      <c r="G84" s="261"/>
      <c r="H84" s="230"/>
    </row>
    <row r="85" spans="1:8" ht="12">
      <c r="A85" s="123"/>
      <c r="B85" s="305"/>
      <c r="C85" s="103" t="s">
        <v>179</v>
      </c>
      <c r="D85" s="8">
        <v>423321</v>
      </c>
      <c r="E85" s="19" t="s">
        <v>180</v>
      </c>
      <c r="F85" s="230"/>
      <c r="G85" s="261"/>
      <c r="H85" s="230">
        <v>28229.471457279582</v>
      </c>
    </row>
    <row r="86" spans="1:8" ht="15" customHeight="1">
      <c r="A86" s="123"/>
      <c r="B86" s="4"/>
      <c r="C86" s="102" t="s">
        <v>183</v>
      </c>
      <c r="D86" s="11">
        <v>423400</v>
      </c>
      <c r="E86" s="122" t="s">
        <v>184</v>
      </c>
      <c r="F86" s="146">
        <f>+F87+F88</f>
        <v>0</v>
      </c>
      <c r="G86" s="261"/>
      <c r="H86" s="146">
        <f>+H87+H88</f>
        <v>0</v>
      </c>
    </row>
    <row r="87" spans="1:8" ht="12">
      <c r="A87" s="123"/>
      <c r="B87" s="305"/>
      <c r="C87" s="103" t="s">
        <v>185</v>
      </c>
      <c r="D87" s="8">
        <v>423432</v>
      </c>
      <c r="E87" s="19" t="s">
        <v>186</v>
      </c>
      <c r="F87" s="230"/>
      <c r="G87" s="261"/>
      <c r="H87" s="230"/>
    </row>
    <row r="88" spans="1:8" ht="12">
      <c r="A88" s="123"/>
      <c r="B88" s="305"/>
      <c r="C88" s="103" t="s">
        <v>187</v>
      </c>
      <c r="D88" s="8" t="s">
        <v>188</v>
      </c>
      <c r="E88" s="19" t="s">
        <v>189</v>
      </c>
      <c r="F88" s="230"/>
      <c r="G88" s="261"/>
      <c r="H88" s="230"/>
    </row>
    <row r="89" spans="1:8" ht="12">
      <c r="A89" s="123"/>
      <c r="B89" s="93"/>
      <c r="C89" s="102" t="s">
        <v>190</v>
      </c>
      <c r="D89" s="11">
        <v>423599</v>
      </c>
      <c r="E89" s="122" t="s">
        <v>192</v>
      </c>
      <c r="F89" s="146"/>
      <c r="G89" s="261"/>
      <c r="H89" s="146"/>
    </row>
    <row r="90" spans="1:8" ht="12">
      <c r="A90" s="123"/>
      <c r="B90" s="93"/>
      <c r="C90" s="102" t="s">
        <v>191</v>
      </c>
      <c r="D90" s="11">
        <v>423700</v>
      </c>
      <c r="E90" s="122" t="s">
        <v>194</v>
      </c>
      <c r="F90" s="230"/>
      <c r="G90" s="261"/>
      <c r="H90" s="230"/>
    </row>
    <row r="91" spans="1:8" ht="12">
      <c r="A91" s="136"/>
      <c r="B91" s="93"/>
      <c r="C91" s="102" t="s">
        <v>193</v>
      </c>
      <c r="D91" s="11">
        <v>423900</v>
      </c>
      <c r="E91" s="122" t="s">
        <v>196</v>
      </c>
      <c r="F91" s="140">
        <v>2158183.667784965</v>
      </c>
      <c r="G91" s="140">
        <v>80726.89328536486</v>
      </c>
      <c r="H91" s="140">
        <v>525126.9805042696</v>
      </c>
    </row>
    <row r="92" spans="1:8" ht="16.5" customHeight="1">
      <c r="A92" s="54">
        <v>4</v>
      </c>
      <c r="B92" s="11">
        <v>424000</v>
      </c>
      <c r="C92" s="8"/>
      <c r="D92" s="287" t="s">
        <v>197</v>
      </c>
      <c r="E92" s="287"/>
      <c r="F92" s="132">
        <f>+F93</f>
        <v>179309.05817984967</v>
      </c>
      <c r="G92" s="132">
        <f>+G93</f>
        <v>265979.50924090046</v>
      </c>
      <c r="H92" s="132">
        <f>+H93</f>
        <v>242519.3892894889</v>
      </c>
    </row>
    <row r="93" spans="1:8" ht="12">
      <c r="A93" s="121"/>
      <c r="B93" s="4"/>
      <c r="C93" s="102" t="s">
        <v>198</v>
      </c>
      <c r="D93" s="11">
        <v>424300</v>
      </c>
      <c r="E93" s="122" t="s">
        <v>199</v>
      </c>
      <c r="F93" s="146">
        <f>+F94+F95</f>
        <v>179309.05817984967</v>
      </c>
      <c r="G93" s="146">
        <f>+G94+G95</f>
        <v>265979.50924090046</v>
      </c>
      <c r="H93" s="146">
        <f>+H94+H95</f>
        <v>242519.3892894889</v>
      </c>
    </row>
    <row r="94" spans="1:8" ht="12">
      <c r="A94" s="123"/>
      <c r="B94" s="305"/>
      <c r="C94" s="103" t="s">
        <v>471</v>
      </c>
      <c r="D94" s="8">
        <v>424311</v>
      </c>
      <c r="E94" s="19" t="s">
        <v>472</v>
      </c>
      <c r="F94" s="230"/>
      <c r="G94" s="230"/>
      <c r="H94" s="230"/>
    </row>
    <row r="95" spans="1:8" ht="12">
      <c r="A95" s="136"/>
      <c r="B95" s="305"/>
      <c r="C95" s="103" t="s">
        <v>200</v>
      </c>
      <c r="D95" s="8">
        <v>424331</v>
      </c>
      <c r="E95" s="19" t="s">
        <v>201</v>
      </c>
      <c r="F95" s="230">
        <v>179309.05817984967</v>
      </c>
      <c r="G95" s="230">
        <v>265979.50924090046</v>
      </c>
      <c r="H95" s="230">
        <v>242519.3892894889</v>
      </c>
    </row>
    <row r="96" spans="1:8" ht="15.75" customHeight="1">
      <c r="A96" s="54">
        <v>5</v>
      </c>
      <c r="B96" s="11">
        <v>425000</v>
      </c>
      <c r="C96" s="20"/>
      <c r="D96" s="287" t="s">
        <v>204</v>
      </c>
      <c r="E96" s="287"/>
      <c r="F96" s="132">
        <f>F97+F107</f>
        <v>8595516.310983092</v>
      </c>
      <c r="G96" s="132">
        <f>G97+G107</f>
        <v>3190177.6597055793</v>
      </c>
      <c r="H96" s="132">
        <f>H97+H107</f>
        <v>2988206.0003228053</v>
      </c>
    </row>
    <row r="97" spans="1:8" ht="15.75" customHeight="1">
      <c r="A97" s="121"/>
      <c r="B97" s="241"/>
      <c r="C97" s="102" t="s">
        <v>205</v>
      </c>
      <c r="D97" s="11">
        <v>425100</v>
      </c>
      <c r="E97" s="122" t="s">
        <v>206</v>
      </c>
      <c r="F97" s="140">
        <f>+F98+F99+F100+F101+F102+F103+F104+F105+F106</f>
        <v>3126087.94922551</v>
      </c>
      <c r="G97" s="140">
        <f>+G98+G99+G100+G101+G102+G103+G104+G105+G106</f>
        <v>1706882.0281262924</v>
      </c>
      <c r="H97" s="140">
        <f>+H98+H99+H100+H101+H102+H103+H104+H105+H106</f>
        <v>1729145.696312633</v>
      </c>
    </row>
    <row r="98" spans="1:8" ht="12">
      <c r="A98" s="123"/>
      <c r="B98" s="299"/>
      <c r="C98" s="103" t="s">
        <v>207</v>
      </c>
      <c r="D98" s="8">
        <v>425111</v>
      </c>
      <c r="E98" s="19" t="s">
        <v>208</v>
      </c>
      <c r="F98" s="222"/>
      <c r="G98" s="222"/>
      <c r="H98" s="222"/>
    </row>
    <row r="99" spans="1:8" ht="12">
      <c r="A99" s="123"/>
      <c r="B99" s="299"/>
      <c r="C99" s="103" t="s">
        <v>209</v>
      </c>
      <c r="D99" s="8">
        <v>425112</v>
      </c>
      <c r="E99" s="19" t="s">
        <v>210</v>
      </c>
      <c r="F99" s="222">
        <v>54921.82696107604</v>
      </c>
      <c r="G99" s="222"/>
      <c r="H99" s="222">
        <v>247334.86662890983</v>
      </c>
    </row>
    <row r="100" spans="1:8" ht="12">
      <c r="A100" s="123"/>
      <c r="B100" s="299"/>
      <c r="C100" s="103" t="s">
        <v>211</v>
      </c>
      <c r="D100" s="8">
        <v>425113</v>
      </c>
      <c r="E100" s="19" t="s">
        <v>212</v>
      </c>
      <c r="F100" s="222">
        <v>265682.4143430977</v>
      </c>
      <c r="G100" s="222"/>
      <c r="H100" s="222">
        <v>0</v>
      </c>
    </row>
    <row r="101" spans="1:8" ht="12">
      <c r="A101" s="123"/>
      <c r="B101" s="299"/>
      <c r="C101" s="103" t="s">
        <v>213</v>
      </c>
      <c r="D101" s="8">
        <v>425114</v>
      </c>
      <c r="E101" s="19" t="s">
        <v>214</v>
      </c>
      <c r="F101" s="222">
        <v>102944.84439030774</v>
      </c>
      <c r="G101" s="222">
        <v>1517052.1202214903</v>
      </c>
      <c r="H101" s="222">
        <v>0</v>
      </c>
    </row>
    <row r="102" spans="1:8" ht="12">
      <c r="A102" s="123"/>
      <c r="B102" s="299"/>
      <c r="C102" s="103" t="s">
        <v>215</v>
      </c>
      <c r="D102" s="8">
        <v>425115</v>
      </c>
      <c r="E102" s="19" t="s">
        <v>216</v>
      </c>
      <c r="F102" s="222">
        <v>1017085.3599027214</v>
      </c>
      <c r="G102" s="222">
        <v>0</v>
      </c>
      <c r="H102" s="222">
        <v>179395.93865505696</v>
      </c>
    </row>
    <row r="103" spans="1:8" ht="12">
      <c r="A103" s="123"/>
      <c r="B103" s="299"/>
      <c r="C103" s="103" t="s">
        <v>217</v>
      </c>
      <c r="D103" s="8">
        <v>425116</v>
      </c>
      <c r="E103" s="19" t="s">
        <v>218</v>
      </c>
      <c r="F103" s="222">
        <v>595714.1592589355</v>
      </c>
      <c r="G103" s="222">
        <v>189829.90790480218</v>
      </c>
      <c r="H103" s="222">
        <v>0</v>
      </c>
    </row>
    <row r="104" spans="1:8" ht="12">
      <c r="A104" s="123"/>
      <c r="B104" s="299"/>
      <c r="C104" s="103" t="s">
        <v>219</v>
      </c>
      <c r="D104" s="8">
        <v>425117</v>
      </c>
      <c r="E104" s="19" t="s">
        <v>220</v>
      </c>
      <c r="F104" s="222">
        <v>12018.795585156404</v>
      </c>
      <c r="G104" s="222"/>
      <c r="H104" s="222">
        <v>8351.21863944521</v>
      </c>
    </row>
    <row r="105" spans="1:8" ht="13.5" customHeight="1">
      <c r="A105" s="123"/>
      <c r="B105" s="299"/>
      <c r="C105" s="103" t="s">
        <v>221</v>
      </c>
      <c r="D105" s="8">
        <v>425119</v>
      </c>
      <c r="E105" s="227" t="s">
        <v>224</v>
      </c>
      <c r="F105" s="222">
        <v>0</v>
      </c>
      <c r="G105" s="222"/>
      <c r="H105" s="222">
        <v>0</v>
      </c>
    </row>
    <row r="106" spans="1:8" ht="12">
      <c r="A106" s="123"/>
      <c r="B106" s="299"/>
      <c r="C106" s="103" t="s">
        <v>223</v>
      </c>
      <c r="D106" s="8">
        <v>425191</v>
      </c>
      <c r="E106" s="19" t="s">
        <v>226</v>
      </c>
      <c r="F106" s="222">
        <v>1077720.548784215</v>
      </c>
      <c r="G106" s="222"/>
      <c r="H106" s="222">
        <v>1294063.6723892211</v>
      </c>
    </row>
    <row r="107" spans="1:8" ht="18" customHeight="1">
      <c r="A107" s="123"/>
      <c r="B107" s="93"/>
      <c r="C107" s="102" t="s">
        <v>227</v>
      </c>
      <c r="D107" s="11">
        <v>425200</v>
      </c>
      <c r="E107" s="122" t="s">
        <v>228</v>
      </c>
      <c r="F107" s="146">
        <f>+F108+F113+F121+F122+F123</f>
        <v>5469428.361757582</v>
      </c>
      <c r="G107" s="146">
        <f>+G108+G113+G121+G122+G123</f>
        <v>1483295.631579287</v>
      </c>
      <c r="H107" s="146">
        <f>+H108+H113+H121+H122+H123</f>
        <v>1259060.3040101721</v>
      </c>
    </row>
    <row r="108" spans="1:8" ht="18" customHeight="1">
      <c r="A108" s="123"/>
      <c r="B108" s="242"/>
      <c r="C108" s="102" t="s">
        <v>229</v>
      </c>
      <c r="D108" s="11">
        <v>425210</v>
      </c>
      <c r="E108" s="122" t="s">
        <v>230</v>
      </c>
      <c r="F108" s="146">
        <f>+F109+F110+F111+F112</f>
        <v>4320729.626285246</v>
      </c>
      <c r="G108" s="146">
        <f>+G109+G110+G111+G112</f>
        <v>635896.6904084246</v>
      </c>
      <c r="H108" s="146">
        <f>+H109+H110+H111+H112</f>
        <v>714466.7504801534</v>
      </c>
    </row>
    <row r="109" spans="1:8" ht="12">
      <c r="A109" s="123"/>
      <c r="B109" s="305"/>
      <c r="C109" s="103" t="s">
        <v>231</v>
      </c>
      <c r="D109" s="8">
        <v>425211</v>
      </c>
      <c r="E109" s="19" t="s">
        <v>473</v>
      </c>
      <c r="F109" s="230">
        <v>4027908.416789467</v>
      </c>
      <c r="G109" s="230">
        <v>578439.9748293232</v>
      </c>
      <c r="H109" s="230">
        <v>417752.65713257453</v>
      </c>
    </row>
    <row r="110" spans="1:8" ht="12">
      <c r="A110" s="123"/>
      <c r="B110" s="305"/>
      <c r="C110" s="103" t="s">
        <v>474</v>
      </c>
      <c r="D110" s="8">
        <v>425212</v>
      </c>
      <c r="E110" s="19" t="s">
        <v>236</v>
      </c>
      <c r="F110" s="230">
        <v>4564.429746966951</v>
      </c>
      <c r="G110" s="230">
        <v>0</v>
      </c>
      <c r="H110" s="230">
        <v>194664.55402951306</v>
      </c>
    </row>
    <row r="111" spans="1:8" ht="12">
      <c r="A111" s="123"/>
      <c r="B111" s="305"/>
      <c r="C111" s="103" t="s">
        <v>235</v>
      </c>
      <c r="D111" s="8">
        <v>425213</v>
      </c>
      <c r="E111" s="19" t="s">
        <v>238</v>
      </c>
      <c r="F111" s="230">
        <v>1251.9578734537922</v>
      </c>
      <c r="G111" s="230">
        <v>8909.85975071353</v>
      </c>
      <c r="H111" s="230">
        <v>37051.18128767946</v>
      </c>
    </row>
    <row r="112" spans="1:8" ht="12">
      <c r="A112" s="136"/>
      <c r="B112" s="305"/>
      <c r="C112" s="103" t="s">
        <v>237</v>
      </c>
      <c r="D112" s="8">
        <v>425219</v>
      </c>
      <c r="E112" s="19" t="s">
        <v>242</v>
      </c>
      <c r="F112" s="230">
        <v>287004.8218753576</v>
      </c>
      <c r="G112" s="230">
        <v>48546.85582838778</v>
      </c>
      <c r="H112" s="230">
        <v>64998.35803038624</v>
      </c>
    </row>
    <row r="113" spans="1:8" ht="15.75" customHeight="1">
      <c r="A113" s="123"/>
      <c r="B113" s="242"/>
      <c r="C113" s="102" t="s">
        <v>243</v>
      </c>
      <c r="D113" s="11">
        <v>425220</v>
      </c>
      <c r="E113" s="122" t="s">
        <v>244</v>
      </c>
      <c r="F113" s="140">
        <f>+F114+F115+F116+F117+F118+F119+F120</f>
        <v>120161.8733958671</v>
      </c>
      <c r="G113" s="140">
        <f>+G114+G115+G116+G117+G118+G119+G120</f>
        <v>109347.7387672569</v>
      </c>
      <c r="H113" s="140">
        <f>+H114+H115+H116+H117+H118+H119+H120</f>
        <v>152406.21148594294</v>
      </c>
    </row>
    <row r="114" spans="1:8" ht="12">
      <c r="A114" s="123"/>
      <c r="B114" s="305"/>
      <c r="C114" s="103" t="s">
        <v>245</v>
      </c>
      <c r="D114" s="8">
        <v>425221</v>
      </c>
      <c r="E114" s="19" t="s">
        <v>246</v>
      </c>
      <c r="F114" s="222">
        <v>0</v>
      </c>
      <c r="G114" s="222"/>
      <c r="H114" s="222">
        <v>4704.911909546597</v>
      </c>
    </row>
    <row r="115" spans="1:8" ht="12">
      <c r="A115" s="123"/>
      <c r="B115" s="305"/>
      <c r="C115" s="103" t="s">
        <v>247</v>
      </c>
      <c r="D115" s="8">
        <v>425222</v>
      </c>
      <c r="E115" s="19" t="s">
        <v>248</v>
      </c>
      <c r="F115" s="222">
        <v>80339.18003775772</v>
      </c>
      <c r="G115" s="222">
        <v>15282.191444423845</v>
      </c>
      <c r="H115" s="222">
        <v>144596.0577160956</v>
      </c>
    </row>
    <row r="116" spans="1:8" ht="12">
      <c r="A116" s="123"/>
      <c r="B116" s="305"/>
      <c r="C116" s="103" t="s">
        <v>249</v>
      </c>
      <c r="D116" s="8">
        <v>425223</v>
      </c>
      <c r="E116" s="19" t="s">
        <v>250</v>
      </c>
      <c r="F116" s="222">
        <v>0</v>
      </c>
      <c r="G116" s="222">
        <v>0</v>
      </c>
      <c r="H116" s="222">
        <v>0</v>
      </c>
    </row>
    <row r="117" spans="1:8" ht="12">
      <c r="A117" s="123"/>
      <c r="B117" s="305"/>
      <c r="C117" s="103" t="s">
        <v>251</v>
      </c>
      <c r="D117" s="8">
        <v>425224</v>
      </c>
      <c r="E117" s="19" t="s">
        <v>252</v>
      </c>
      <c r="F117" s="222">
        <v>35323.46975038481</v>
      </c>
      <c r="G117" s="222">
        <v>6272.541264502324</v>
      </c>
      <c r="H117" s="222">
        <v>3105.241860300754</v>
      </c>
    </row>
    <row r="118" spans="1:8" ht="12">
      <c r="A118" s="123"/>
      <c r="B118" s="305"/>
      <c r="C118" s="103" t="s">
        <v>253</v>
      </c>
      <c r="D118" s="8">
        <v>425225</v>
      </c>
      <c r="E118" s="19" t="s">
        <v>254</v>
      </c>
      <c r="F118" s="222">
        <v>2934.276265907325</v>
      </c>
      <c r="G118" s="222">
        <v>87793.00605833073</v>
      </c>
      <c r="H118" s="222">
        <v>0</v>
      </c>
    </row>
    <row r="119" spans="1:8" ht="12">
      <c r="A119" s="123"/>
      <c r="B119" s="305"/>
      <c r="C119" s="103" t="s">
        <v>255</v>
      </c>
      <c r="D119" s="8">
        <v>425226</v>
      </c>
      <c r="E119" s="19" t="s">
        <v>256</v>
      </c>
      <c r="F119" s="222">
        <v>0</v>
      </c>
      <c r="G119" s="222">
        <v>0</v>
      </c>
      <c r="H119" s="222">
        <v>0</v>
      </c>
    </row>
    <row r="120" spans="1:8" ht="13.5" customHeight="1">
      <c r="A120" s="123"/>
      <c r="B120" s="305"/>
      <c r="C120" s="103" t="s">
        <v>257</v>
      </c>
      <c r="D120" s="8">
        <v>425229</v>
      </c>
      <c r="E120" s="19" t="s">
        <v>258</v>
      </c>
      <c r="F120" s="222">
        <v>1564.9473418172402</v>
      </c>
      <c r="G120" s="222">
        <v>0</v>
      </c>
      <c r="H120" s="222">
        <v>0</v>
      </c>
    </row>
    <row r="121" spans="1:8" ht="15.75" customHeight="1">
      <c r="A121" s="123"/>
      <c r="B121" s="242"/>
      <c r="C121" s="102" t="s">
        <v>261</v>
      </c>
      <c r="D121" s="11">
        <v>425251</v>
      </c>
      <c r="E121" s="122" t="s">
        <v>262</v>
      </c>
      <c r="F121" s="146">
        <v>424883.2033033807</v>
      </c>
      <c r="G121" s="146">
        <v>461112.56566932733</v>
      </c>
      <c r="H121" s="146">
        <v>338304.33839999326</v>
      </c>
    </row>
    <row r="122" spans="1:8" ht="16.5" customHeight="1">
      <c r="A122" s="123"/>
      <c r="B122" s="242"/>
      <c r="C122" s="102" t="s">
        <v>263</v>
      </c>
      <c r="D122" s="11">
        <v>425252</v>
      </c>
      <c r="E122" s="122" t="s">
        <v>268</v>
      </c>
      <c r="F122" s="146">
        <v>476038.72366181656</v>
      </c>
      <c r="G122" s="146">
        <v>258646.10067541318</v>
      </c>
      <c r="H122" s="146">
        <v>24037.394945873566</v>
      </c>
    </row>
    <row r="123" spans="1:8" ht="12">
      <c r="A123" s="136"/>
      <c r="B123" s="242"/>
      <c r="C123" s="102" t="s">
        <v>475</v>
      </c>
      <c r="D123" s="11">
        <v>425281</v>
      </c>
      <c r="E123" s="152" t="s">
        <v>272</v>
      </c>
      <c r="F123" s="146">
        <v>127614.93511127168</v>
      </c>
      <c r="G123" s="146">
        <v>18292.536058864924</v>
      </c>
      <c r="H123" s="146">
        <v>29845.608698208838</v>
      </c>
    </row>
    <row r="124" spans="1:8" ht="16.5" customHeight="1">
      <c r="A124" s="54">
        <v>6</v>
      </c>
      <c r="B124" s="11">
        <v>426000</v>
      </c>
      <c r="C124" s="8"/>
      <c r="D124" s="287" t="s">
        <v>273</v>
      </c>
      <c r="E124" s="287"/>
      <c r="F124" s="132">
        <f>+F125+F130+F131+F138+F153+F160</f>
        <v>52342025.09845882</v>
      </c>
      <c r="G124" s="132">
        <f>+G125+G130+G131+G138+G153+G160</f>
        <v>11393861.58636434</v>
      </c>
      <c r="H124" s="132">
        <f>+H125+H130+H131+H138+H153+H160</f>
        <v>26816445.14229935</v>
      </c>
    </row>
    <row r="125" spans="1:8" ht="12">
      <c r="A125" s="121"/>
      <c r="B125" s="4"/>
      <c r="C125" s="102" t="s">
        <v>274</v>
      </c>
      <c r="D125" s="11">
        <v>426100</v>
      </c>
      <c r="E125" s="122" t="s">
        <v>275</v>
      </c>
      <c r="F125" s="146">
        <f>+F126+F127+F128+F129</f>
        <v>2622572.6626097374</v>
      </c>
      <c r="G125" s="146">
        <f>+G126+G127+G128+G129</f>
        <v>387101.33067340025</v>
      </c>
      <c r="H125" s="146">
        <f>+H126+H127+H128+H129</f>
        <v>681571.1826365809</v>
      </c>
    </row>
    <row r="126" spans="1:8" ht="12">
      <c r="A126" s="123"/>
      <c r="B126" s="305"/>
      <c r="C126" s="103" t="s">
        <v>276</v>
      </c>
      <c r="D126" s="8">
        <v>426111</v>
      </c>
      <c r="E126" s="19" t="s">
        <v>277</v>
      </c>
      <c r="F126" s="230">
        <v>229584.29565851335</v>
      </c>
      <c r="G126" s="230">
        <v>75358.40579023493</v>
      </c>
      <c r="H126" s="230">
        <v>240833.85459789383</v>
      </c>
    </row>
    <row r="127" spans="1:8" ht="12">
      <c r="A127" s="123"/>
      <c r="B127" s="305"/>
      <c r="C127" s="103" t="s">
        <v>278</v>
      </c>
      <c r="D127" s="8">
        <v>4261111</v>
      </c>
      <c r="E127" s="19" t="s">
        <v>279</v>
      </c>
      <c r="F127" s="230">
        <v>1725010.1559383075</v>
      </c>
      <c r="G127" s="230">
        <v>304491.48702738463</v>
      </c>
      <c r="H127" s="230">
        <v>353848.19112115784</v>
      </c>
    </row>
    <row r="128" spans="1:8" ht="12">
      <c r="A128" s="123"/>
      <c r="B128" s="305"/>
      <c r="C128" s="103" t="s">
        <v>280</v>
      </c>
      <c r="D128" s="8">
        <v>4261112</v>
      </c>
      <c r="E128" s="19" t="s">
        <v>281</v>
      </c>
      <c r="F128" s="222">
        <v>71338.12457673889</v>
      </c>
      <c r="G128" s="222">
        <v>7251.437855780718</v>
      </c>
      <c r="H128" s="222">
        <v>86889.13691752918</v>
      </c>
    </row>
    <row r="129" spans="1:8" ht="12">
      <c r="A129" s="123"/>
      <c r="B129" s="305"/>
      <c r="C129" s="103" t="s">
        <v>285</v>
      </c>
      <c r="D129" s="8">
        <v>426124</v>
      </c>
      <c r="E129" s="19" t="s">
        <v>286</v>
      </c>
      <c r="F129" s="222">
        <v>596640.0864361774</v>
      </c>
      <c r="G129" s="222"/>
      <c r="H129" s="222">
        <v>0</v>
      </c>
    </row>
    <row r="130" spans="1:8" ht="22.5">
      <c r="A130" s="123"/>
      <c r="B130" s="93"/>
      <c r="C130" s="102" t="s">
        <v>289</v>
      </c>
      <c r="D130" s="11">
        <v>426300</v>
      </c>
      <c r="E130" s="122" t="s">
        <v>290</v>
      </c>
      <c r="F130" s="146">
        <v>30558.20509455131</v>
      </c>
      <c r="G130" s="146"/>
      <c r="H130" s="146">
        <v>33793.02979031843</v>
      </c>
    </row>
    <row r="131" spans="1:8" ht="12">
      <c r="A131" s="123"/>
      <c r="B131" s="93"/>
      <c r="C131" s="102" t="s">
        <v>293</v>
      </c>
      <c r="D131" s="11">
        <v>426400</v>
      </c>
      <c r="E131" s="122" t="s">
        <v>294</v>
      </c>
      <c r="F131" s="146">
        <f>+F132+F133+F134+F135+F136+F137</f>
        <v>11306831.540462464</v>
      </c>
      <c r="G131" s="146">
        <f>+G132+G133+G134+G135+G136+G137</f>
        <v>2655513.462584501</v>
      </c>
      <c r="H131" s="146">
        <f>+H132+H133+H134+H135+H136+H137</f>
        <v>6259376.097330296</v>
      </c>
    </row>
    <row r="132" spans="1:8" ht="12">
      <c r="A132" s="123"/>
      <c r="B132" s="305"/>
      <c r="C132" s="103" t="s">
        <v>295</v>
      </c>
      <c r="D132" s="8">
        <v>4264111</v>
      </c>
      <c r="E132" s="19" t="s">
        <v>296</v>
      </c>
      <c r="F132" s="222">
        <v>250023</v>
      </c>
      <c r="G132" s="222">
        <f>600928+204055+100000</f>
        <v>904983</v>
      </c>
      <c r="H132" s="222">
        <f>980186+196521</f>
        <v>1176707</v>
      </c>
    </row>
    <row r="133" spans="1:8" ht="12">
      <c r="A133" s="123"/>
      <c r="B133" s="305"/>
      <c r="C133" s="103" t="s">
        <v>297</v>
      </c>
      <c r="D133" s="8">
        <v>4264112</v>
      </c>
      <c r="E133" s="19" t="s">
        <v>298</v>
      </c>
      <c r="F133" s="222">
        <v>1268043</v>
      </c>
      <c r="G133" s="222">
        <f>18790+4038+20000</f>
        <v>42828</v>
      </c>
      <c r="H133" s="222">
        <f>771026+124960</f>
        <v>895986</v>
      </c>
    </row>
    <row r="134" spans="1:8" ht="12">
      <c r="A134" s="123"/>
      <c r="B134" s="305"/>
      <c r="C134" s="103" t="s">
        <v>299</v>
      </c>
      <c r="D134" s="8">
        <v>426412</v>
      </c>
      <c r="E134" s="19" t="s">
        <v>300</v>
      </c>
      <c r="F134" s="222">
        <v>8785247</v>
      </c>
      <c r="G134" s="222">
        <f>1172240+130118+100000</f>
        <v>1402358</v>
      </c>
      <c r="H134" s="222">
        <f>2887163+517774</f>
        <v>3404937</v>
      </c>
    </row>
    <row r="135" spans="1:8" ht="12">
      <c r="A135" s="123"/>
      <c r="B135" s="305"/>
      <c r="C135" s="103" t="s">
        <v>301</v>
      </c>
      <c r="D135" s="8">
        <v>426413</v>
      </c>
      <c r="E135" s="19" t="s">
        <v>476</v>
      </c>
      <c r="F135" s="222">
        <v>153520</v>
      </c>
      <c r="G135" s="222">
        <v>63083</v>
      </c>
      <c r="H135" s="222">
        <f>138922-375</f>
        <v>138547</v>
      </c>
    </row>
    <row r="136" spans="1:8" ht="12">
      <c r="A136" s="123"/>
      <c r="B136" s="305"/>
      <c r="C136" s="103" t="s">
        <v>303</v>
      </c>
      <c r="D136" s="8">
        <v>4264911</v>
      </c>
      <c r="E136" s="19" t="s">
        <v>304</v>
      </c>
      <c r="F136" s="222">
        <v>529274.3198620846</v>
      </c>
      <c r="G136" s="222">
        <v>222826.0885149446</v>
      </c>
      <c r="H136" s="222">
        <v>169740.28318869</v>
      </c>
    </row>
    <row r="137" spans="1:8" ht="12">
      <c r="A137" s="123"/>
      <c r="B137" s="305"/>
      <c r="C137" s="103" t="s">
        <v>305</v>
      </c>
      <c r="D137" s="8">
        <v>4264912</v>
      </c>
      <c r="E137" s="19" t="s">
        <v>306</v>
      </c>
      <c r="F137" s="222">
        <v>320724.22060037975</v>
      </c>
      <c r="G137" s="222">
        <v>19435.374069556445</v>
      </c>
      <c r="H137" s="222">
        <v>473458.8141416062</v>
      </c>
    </row>
    <row r="138" spans="1:8" ht="12">
      <c r="A138" s="123"/>
      <c r="B138" s="93"/>
      <c r="C138" s="102" t="s">
        <v>307</v>
      </c>
      <c r="D138" s="11">
        <v>426700</v>
      </c>
      <c r="E138" s="122" t="s">
        <v>308</v>
      </c>
      <c r="F138" s="140">
        <f>+F139+F144+F145</f>
        <v>36209296.85546755</v>
      </c>
      <c r="G138" s="140">
        <f>+G139+G144+G145+G149</f>
        <v>7264877</v>
      </c>
      <c r="H138" s="140">
        <f>+H139+H144+H145+H149</f>
        <v>18512855.0839174</v>
      </c>
    </row>
    <row r="139" spans="1:8" ht="12">
      <c r="A139" s="123"/>
      <c r="B139" s="93"/>
      <c r="C139" s="102" t="s">
        <v>309</v>
      </c>
      <c r="D139" s="11">
        <v>426710</v>
      </c>
      <c r="E139" s="19" t="s">
        <v>310</v>
      </c>
      <c r="F139" s="146">
        <f>+F140+F141+F142+F143</f>
        <v>7470215.8081883155</v>
      </c>
      <c r="G139" s="146">
        <f>+G140+G141+G142+G143</f>
        <v>2232692</v>
      </c>
      <c r="H139" s="146">
        <f>+H140+H141+H142+H143</f>
        <v>4583429.6341401</v>
      </c>
    </row>
    <row r="140" spans="1:8" ht="12">
      <c r="A140" s="123"/>
      <c r="B140" s="305"/>
      <c r="C140" s="103" t="s">
        <v>311</v>
      </c>
      <c r="D140" s="8">
        <v>426711</v>
      </c>
      <c r="E140" s="19" t="s">
        <v>312</v>
      </c>
      <c r="F140" s="222">
        <v>7096301</v>
      </c>
      <c r="G140" s="222">
        <f>2031648-63556+127805</f>
        <v>2095897</v>
      </c>
      <c r="H140" s="222">
        <v>4226309.3071495</v>
      </c>
    </row>
    <row r="141" spans="1:8" ht="12">
      <c r="A141" s="123"/>
      <c r="B141" s="305"/>
      <c r="C141" s="103" t="s">
        <v>313</v>
      </c>
      <c r="D141" s="8">
        <v>42671102</v>
      </c>
      <c r="E141" s="19" t="s">
        <v>314</v>
      </c>
      <c r="F141" s="222">
        <v>0</v>
      </c>
      <c r="G141" s="222"/>
      <c r="H141" s="222">
        <v>56661.4494</v>
      </c>
    </row>
    <row r="142" spans="1:8" ht="12">
      <c r="A142" s="123"/>
      <c r="B142" s="305"/>
      <c r="C142" s="103" t="s">
        <v>315</v>
      </c>
      <c r="D142" s="8">
        <v>42671103</v>
      </c>
      <c r="E142" s="19" t="s">
        <v>316</v>
      </c>
      <c r="F142" s="222">
        <v>346935.647889675</v>
      </c>
      <c r="G142" s="222">
        <f>114422-18596+10000</f>
        <v>105826</v>
      </c>
      <c r="H142" s="222">
        <v>212288.4158937</v>
      </c>
    </row>
    <row r="143" spans="1:8" ht="12">
      <c r="A143" s="123"/>
      <c r="B143" s="305"/>
      <c r="C143" s="103" t="s">
        <v>317</v>
      </c>
      <c r="D143" s="8">
        <v>42671105</v>
      </c>
      <c r="E143" s="19" t="s">
        <v>318</v>
      </c>
      <c r="F143" s="222">
        <v>26979.160298641</v>
      </c>
      <c r="G143" s="222">
        <f>20969+10000</f>
        <v>30969</v>
      </c>
      <c r="H143" s="222">
        <v>88170.4616969</v>
      </c>
    </row>
    <row r="144" spans="1:8" ht="12">
      <c r="A144" s="123"/>
      <c r="B144" s="93"/>
      <c r="C144" s="102" t="s">
        <v>321</v>
      </c>
      <c r="D144" s="11">
        <v>426721</v>
      </c>
      <c r="E144" s="122" t="s">
        <v>322</v>
      </c>
      <c r="F144" s="140">
        <v>8104529.047279237</v>
      </c>
      <c r="G144" s="140">
        <v>1058275</v>
      </c>
      <c r="H144" s="140">
        <v>4627111</v>
      </c>
    </row>
    <row r="145" spans="1:9" ht="12">
      <c r="A145" s="123"/>
      <c r="B145" s="4"/>
      <c r="C145" s="102" t="s">
        <v>323</v>
      </c>
      <c r="D145" s="11">
        <v>426750</v>
      </c>
      <c r="E145" s="122" t="s">
        <v>324</v>
      </c>
      <c r="F145" s="146">
        <f>+F146+F147+F148</f>
        <v>20634552</v>
      </c>
      <c r="G145" s="146">
        <f>+G146+G147+G148</f>
        <v>3773814</v>
      </c>
      <c r="H145" s="146">
        <f>+H146+H147+H148</f>
        <v>8699633.9590846</v>
      </c>
      <c r="I145" s="271"/>
    </row>
    <row r="146" spans="1:8" ht="12">
      <c r="A146" s="123"/>
      <c r="B146" s="306"/>
      <c r="C146" s="103" t="s">
        <v>325</v>
      </c>
      <c r="D146" s="8">
        <v>426751</v>
      </c>
      <c r="E146" s="19" t="s">
        <v>326</v>
      </c>
      <c r="F146" s="222">
        <v>13785413</v>
      </c>
      <c r="G146" s="222">
        <v>3588808.947896513</v>
      </c>
      <c r="H146" s="222">
        <f>6024084.4314447+25180</f>
        <v>6049264.4314447</v>
      </c>
    </row>
    <row r="147" spans="1:8" ht="12">
      <c r="A147" s="123"/>
      <c r="B147" s="306"/>
      <c r="C147" s="103" t="s">
        <v>327</v>
      </c>
      <c r="D147" s="8">
        <v>42675100</v>
      </c>
      <c r="E147" s="19" t="s">
        <v>477</v>
      </c>
      <c r="F147" s="222">
        <v>686132</v>
      </c>
      <c r="G147" s="222">
        <v>185005.0521034867</v>
      </c>
      <c r="H147" s="222">
        <v>157805.52763989998</v>
      </c>
    </row>
    <row r="148" spans="1:8" ht="12">
      <c r="A148" s="123"/>
      <c r="B148" s="109"/>
      <c r="C148" s="103" t="s">
        <v>329</v>
      </c>
      <c r="D148" s="8">
        <v>42675108</v>
      </c>
      <c r="E148" s="19" t="s">
        <v>330</v>
      </c>
      <c r="F148" s="222">
        <v>6163007</v>
      </c>
      <c r="G148" s="261"/>
      <c r="H148" s="222">
        <v>2492564</v>
      </c>
    </row>
    <row r="149" spans="1:8" ht="12">
      <c r="A149" s="123"/>
      <c r="B149" s="109"/>
      <c r="C149" s="102" t="s">
        <v>333</v>
      </c>
      <c r="D149" s="11">
        <v>426790</v>
      </c>
      <c r="E149" s="122" t="s">
        <v>334</v>
      </c>
      <c r="F149" s="222"/>
      <c r="G149" s="146">
        <f>+G150+G152</f>
        <v>200096</v>
      </c>
      <c r="H149" s="146">
        <f>+H150+H151+H152</f>
        <v>602680.4906927</v>
      </c>
    </row>
    <row r="150" spans="1:8" ht="12">
      <c r="A150" s="123"/>
      <c r="B150" s="109"/>
      <c r="C150" s="103" t="s">
        <v>478</v>
      </c>
      <c r="D150" s="8">
        <v>42679101</v>
      </c>
      <c r="E150" s="19" t="s">
        <v>492</v>
      </c>
      <c r="F150" s="222"/>
      <c r="G150" s="222"/>
      <c r="H150" s="222">
        <v>12030</v>
      </c>
    </row>
    <row r="151" spans="1:8" ht="12">
      <c r="A151" s="123"/>
      <c r="B151" s="109"/>
      <c r="C151" s="103"/>
      <c r="D151" s="8">
        <v>42679103</v>
      </c>
      <c r="E151" s="19" t="s">
        <v>493</v>
      </c>
      <c r="F151" s="222"/>
      <c r="G151" s="222"/>
      <c r="H151" s="272"/>
    </row>
    <row r="152" spans="1:8" ht="12">
      <c r="A152" s="123"/>
      <c r="B152" s="109"/>
      <c r="C152" s="103" t="s">
        <v>336</v>
      </c>
      <c r="D152" s="8">
        <v>42679104</v>
      </c>
      <c r="E152" s="19" t="s">
        <v>337</v>
      </c>
      <c r="F152" s="222"/>
      <c r="G152" s="222">
        <f>170096+30000</f>
        <v>200096</v>
      </c>
      <c r="H152" s="222">
        <v>590650.4906927</v>
      </c>
    </row>
    <row r="153" spans="1:8" ht="12">
      <c r="A153" s="123"/>
      <c r="B153" s="93"/>
      <c r="C153" s="102" t="s">
        <v>340</v>
      </c>
      <c r="D153" s="11">
        <v>426800</v>
      </c>
      <c r="E153" s="122" t="s">
        <v>341</v>
      </c>
      <c r="F153" s="140">
        <f>+F154+F156+F159+F158+F157+F155</f>
        <v>1312491.3407580678</v>
      </c>
      <c r="G153" s="140">
        <f>+G154+G156+G159+G158+G157+G155</f>
        <v>735810.7672239657</v>
      </c>
      <c r="H153" s="140">
        <f>+H154+H156+H159+H158+H157+H155</f>
        <v>958067.4033131595</v>
      </c>
    </row>
    <row r="154" spans="1:8" ht="12">
      <c r="A154" s="123"/>
      <c r="B154" s="305"/>
      <c r="C154" s="103" t="s">
        <v>342</v>
      </c>
      <c r="D154" s="8">
        <v>426811</v>
      </c>
      <c r="E154" s="19" t="s">
        <v>343</v>
      </c>
      <c r="F154" s="222">
        <v>1205364.1745967534</v>
      </c>
      <c r="G154" s="222">
        <v>434044.4117466596</v>
      </c>
      <c r="H154" s="222">
        <v>641283.0219551333</v>
      </c>
    </row>
    <row r="155" spans="1:8" ht="12">
      <c r="A155" s="123"/>
      <c r="B155" s="305"/>
      <c r="C155" s="103" t="s">
        <v>344</v>
      </c>
      <c r="D155" s="8">
        <v>42681101</v>
      </c>
      <c r="E155" s="19" t="s">
        <v>345</v>
      </c>
      <c r="F155" s="222">
        <v>0</v>
      </c>
      <c r="G155" s="222">
        <v>0</v>
      </c>
      <c r="H155" s="222"/>
    </row>
    <row r="156" spans="1:8" ht="12">
      <c r="A156" s="123"/>
      <c r="B156" s="305"/>
      <c r="C156" s="103" t="s">
        <v>346</v>
      </c>
      <c r="D156" s="8">
        <v>426823</v>
      </c>
      <c r="E156" s="19" t="s">
        <v>347</v>
      </c>
      <c r="F156" s="222">
        <v>0</v>
      </c>
      <c r="G156" s="222">
        <v>125222</v>
      </c>
      <c r="H156" s="222">
        <v>263421</v>
      </c>
    </row>
    <row r="157" spans="1:8" ht="12">
      <c r="A157" s="123"/>
      <c r="B157" s="305"/>
      <c r="C157" s="103" t="s">
        <v>348</v>
      </c>
      <c r="D157" s="8">
        <v>42682301</v>
      </c>
      <c r="E157" s="19" t="s">
        <v>349</v>
      </c>
      <c r="F157" s="222">
        <v>0</v>
      </c>
      <c r="G157" s="222">
        <v>173970</v>
      </c>
      <c r="H157" s="222">
        <v>47227</v>
      </c>
    </row>
    <row r="158" spans="1:8" ht="12">
      <c r="A158" s="123"/>
      <c r="B158" s="305"/>
      <c r="C158" s="103" t="s">
        <v>350</v>
      </c>
      <c r="D158" s="8">
        <v>4268292</v>
      </c>
      <c r="E158" s="19" t="s">
        <v>351</v>
      </c>
      <c r="F158" s="222">
        <v>3583.7294127614796</v>
      </c>
      <c r="G158" s="222">
        <v>816.1431531653592</v>
      </c>
      <c r="H158" s="222">
        <v>4619.047267197371</v>
      </c>
    </row>
    <row r="159" spans="1:8" ht="12">
      <c r="A159" s="123"/>
      <c r="B159" s="305"/>
      <c r="C159" s="103" t="s">
        <v>352</v>
      </c>
      <c r="D159" s="8">
        <v>426829</v>
      </c>
      <c r="E159" s="19" t="s">
        <v>479</v>
      </c>
      <c r="F159" s="222">
        <v>103543.43674855283</v>
      </c>
      <c r="G159" s="222">
        <v>1758.212324140803</v>
      </c>
      <c r="H159" s="222">
        <v>1517.3340908287776</v>
      </c>
    </row>
    <row r="160" spans="1:8" ht="12">
      <c r="A160" s="123"/>
      <c r="B160" s="4"/>
      <c r="C160" s="102" t="s">
        <v>355</v>
      </c>
      <c r="D160" s="11">
        <v>426900</v>
      </c>
      <c r="E160" s="122" t="s">
        <v>356</v>
      </c>
      <c r="F160" s="140">
        <f>+F161+F163+F164+F165+F162</f>
        <v>860274.4940664457</v>
      </c>
      <c r="G160" s="140">
        <f>+G161+G163+G164+G165+G162</f>
        <v>350559.0258824739</v>
      </c>
      <c r="H160" s="140">
        <f>+H161+H163+H164+H165+H162</f>
        <v>370782.3453115934</v>
      </c>
    </row>
    <row r="161" spans="1:8" ht="12">
      <c r="A161" s="123"/>
      <c r="B161" s="306"/>
      <c r="C161" s="103" t="s">
        <v>357</v>
      </c>
      <c r="D161" s="8">
        <v>426911</v>
      </c>
      <c r="E161" s="19" t="s">
        <v>358</v>
      </c>
      <c r="F161" s="222">
        <v>5932.454548272188</v>
      </c>
      <c r="G161" s="222"/>
      <c r="H161" s="222"/>
    </row>
    <row r="162" spans="1:8" ht="12">
      <c r="A162" s="123"/>
      <c r="B162" s="306"/>
      <c r="C162" s="103" t="s">
        <v>359</v>
      </c>
      <c r="D162" s="8">
        <v>426912</v>
      </c>
      <c r="E162" s="19" t="s">
        <v>360</v>
      </c>
      <c r="F162" s="222">
        <v>8937.153444561287</v>
      </c>
      <c r="G162" s="222">
        <v>16821.815209347144</v>
      </c>
      <c r="H162" s="222"/>
    </row>
    <row r="163" spans="1:8" ht="12">
      <c r="A163" s="123"/>
      <c r="B163" s="306"/>
      <c r="C163" s="103" t="s">
        <v>361</v>
      </c>
      <c r="D163" s="8">
        <v>4269121</v>
      </c>
      <c r="E163" s="19" t="s">
        <v>362</v>
      </c>
      <c r="F163" s="222">
        <v>5932.454548272188</v>
      </c>
      <c r="G163" s="222">
        <v>13281.630935063633</v>
      </c>
      <c r="H163" s="222">
        <v>13718.346900260489</v>
      </c>
    </row>
    <row r="164" spans="1:8" ht="12">
      <c r="A164" s="123"/>
      <c r="B164" s="306"/>
      <c r="C164" s="103" t="s">
        <v>363</v>
      </c>
      <c r="D164" s="8">
        <v>4269122</v>
      </c>
      <c r="E164" s="19" t="s">
        <v>364</v>
      </c>
      <c r="F164" s="222">
        <v>14346.654756109549</v>
      </c>
      <c r="G164" s="222">
        <v>17705.673296617926</v>
      </c>
      <c r="H164" s="222">
        <v>52231.57956383155</v>
      </c>
    </row>
    <row r="165" spans="1:8" ht="12">
      <c r="A165" s="123"/>
      <c r="B165" s="306"/>
      <c r="C165" s="102" t="s">
        <v>365</v>
      </c>
      <c r="D165" s="11">
        <v>426919</v>
      </c>
      <c r="E165" s="122" t="s">
        <v>480</v>
      </c>
      <c r="F165" s="140">
        <f>+F166+F167+F168+F169+F170+F171</f>
        <v>825125.7767692305</v>
      </c>
      <c r="G165" s="140">
        <f>+G166+G167+G168+G169+G170+G171</f>
        <v>302749.9064414452</v>
      </c>
      <c r="H165" s="140">
        <f>+H166+H167+H168+H169+H170+H171</f>
        <v>304832.41884750134</v>
      </c>
    </row>
    <row r="166" spans="1:8" ht="12">
      <c r="A166" s="123"/>
      <c r="B166" s="306"/>
      <c r="C166" s="103" t="s">
        <v>366</v>
      </c>
      <c r="D166" s="8">
        <v>4269191</v>
      </c>
      <c r="E166" s="19" t="s">
        <v>367</v>
      </c>
      <c r="F166" s="222">
        <v>130859.59259997278</v>
      </c>
      <c r="G166" s="222">
        <v>91071.8344465933</v>
      </c>
      <c r="H166" s="222">
        <v>52458.59156346717</v>
      </c>
    </row>
    <row r="167" spans="1:8" ht="12">
      <c r="A167" s="123"/>
      <c r="B167" s="306"/>
      <c r="C167" s="103" t="s">
        <v>368</v>
      </c>
      <c r="D167" s="8">
        <v>4269193</v>
      </c>
      <c r="E167" s="19" t="s">
        <v>369</v>
      </c>
      <c r="F167" s="222">
        <v>408641.6581408874</v>
      </c>
      <c r="G167" s="222">
        <v>68879.15577951606</v>
      </c>
      <c r="H167" s="222">
        <v>90669.53363684987</v>
      </c>
    </row>
    <row r="168" spans="1:8" ht="12">
      <c r="A168" s="123"/>
      <c r="B168" s="306"/>
      <c r="C168" s="103" t="s">
        <v>370</v>
      </c>
      <c r="D168" s="8">
        <v>4269194</v>
      </c>
      <c r="E168" s="19" t="s">
        <v>371</v>
      </c>
      <c r="F168" s="222">
        <v>122948.78378708664</v>
      </c>
      <c r="G168" s="222">
        <v>69681.04315708026</v>
      </c>
      <c r="H168" s="222">
        <v>64541.981575160215</v>
      </c>
    </row>
    <row r="169" spans="1:8" ht="12">
      <c r="A169" s="123"/>
      <c r="B169" s="306"/>
      <c r="C169" s="103" t="s">
        <v>372</v>
      </c>
      <c r="D169" s="8">
        <v>4269195</v>
      </c>
      <c r="E169" s="19" t="s">
        <v>373</v>
      </c>
      <c r="F169" s="222">
        <v>62003.21368279905</v>
      </c>
      <c r="G169" s="222">
        <v>29997.71580870231</v>
      </c>
      <c r="H169" s="222">
        <v>62185.99693645476</v>
      </c>
    </row>
    <row r="170" spans="1:8" ht="12">
      <c r="A170" s="123"/>
      <c r="B170" s="306"/>
      <c r="C170" s="103" t="s">
        <v>374</v>
      </c>
      <c r="D170" s="8">
        <v>4269196</v>
      </c>
      <c r="E170" s="19" t="s">
        <v>375</v>
      </c>
      <c r="F170" s="222">
        <v>91887.95747975066</v>
      </c>
      <c r="G170" s="222">
        <v>34761.52082208381</v>
      </c>
      <c r="H170" s="222">
        <v>22661.208212331185</v>
      </c>
    </row>
    <row r="171" spans="1:8" ht="12">
      <c r="A171" s="123"/>
      <c r="B171" s="306"/>
      <c r="C171" s="103" t="s">
        <v>376</v>
      </c>
      <c r="D171" s="8">
        <v>4269197</v>
      </c>
      <c r="E171" s="19" t="s">
        <v>377</v>
      </c>
      <c r="F171" s="222">
        <v>8784.571078734109</v>
      </c>
      <c r="G171" s="222">
        <v>8358.636427469386</v>
      </c>
      <c r="H171" s="222">
        <v>12315.106923238218</v>
      </c>
    </row>
    <row r="172" spans="1:8" ht="12" customHeight="1">
      <c r="A172" s="123"/>
      <c r="B172" s="160">
        <v>440000</v>
      </c>
      <c r="C172" s="243"/>
      <c r="D172" s="304" t="s">
        <v>381</v>
      </c>
      <c r="E172" s="304"/>
      <c r="F172" s="244">
        <f>+F173</f>
        <v>0</v>
      </c>
      <c r="G172" s="244">
        <f>+G173</f>
        <v>59421.63664945867</v>
      </c>
      <c r="H172" s="244">
        <f>+H173</f>
        <v>344567.7523795772</v>
      </c>
    </row>
    <row r="173" spans="1:8" ht="12">
      <c r="A173" s="123"/>
      <c r="B173" s="155"/>
      <c r="C173" s="167"/>
      <c r="D173" s="8">
        <v>444211</v>
      </c>
      <c r="E173" s="19" t="s">
        <v>383</v>
      </c>
      <c r="F173" s="222"/>
      <c r="G173" s="222">
        <v>59421.63664945867</v>
      </c>
      <c r="H173" s="222">
        <v>344567.7523795772</v>
      </c>
    </row>
    <row r="174" spans="1:8" ht="12" customHeight="1">
      <c r="A174" s="159" t="s">
        <v>37</v>
      </c>
      <c r="B174" s="160">
        <v>482000</v>
      </c>
      <c r="C174" s="243"/>
      <c r="D174" s="304" t="s">
        <v>388</v>
      </c>
      <c r="E174" s="304"/>
      <c r="F174" s="244">
        <f>+F175+F176+F177</f>
        <v>19108.007043588503</v>
      </c>
      <c r="G174" s="244">
        <f>+G175+G176+G177</f>
        <v>24567.453285967436</v>
      </c>
      <c r="H174" s="244">
        <f>+H175+H176+H177</f>
        <v>42344.207185919375</v>
      </c>
    </row>
    <row r="175" spans="1:8" ht="12">
      <c r="A175" s="54">
        <v>1</v>
      </c>
      <c r="B175" s="102"/>
      <c r="C175" s="103" t="s">
        <v>382</v>
      </c>
      <c r="D175" s="8">
        <v>482131</v>
      </c>
      <c r="E175" s="19" t="s">
        <v>390</v>
      </c>
      <c r="F175" s="230">
        <v>19108.007043588503</v>
      </c>
      <c r="G175" s="230">
        <v>24567.453285967436</v>
      </c>
      <c r="H175" s="230">
        <v>42344.207185919375</v>
      </c>
    </row>
    <row r="176" spans="1:8" ht="12">
      <c r="A176" s="54"/>
      <c r="B176" s="102"/>
      <c r="C176" s="103" t="s">
        <v>481</v>
      </c>
      <c r="D176" s="8">
        <v>482211</v>
      </c>
      <c r="E176" s="19" t="s">
        <v>392</v>
      </c>
      <c r="F176" s="230"/>
      <c r="G176" s="261"/>
      <c r="H176" s="261"/>
    </row>
    <row r="177" spans="1:8" ht="12">
      <c r="A177" s="54"/>
      <c r="B177" s="102"/>
      <c r="C177" s="103" t="s">
        <v>482</v>
      </c>
      <c r="D177" s="8">
        <v>482251</v>
      </c>
      <c r="E177" s="19" t="s">
        <v>394</v>
      </c>
      <c r="F177" s="230"/>
      <c r="G177" s="261"/>
      <c r="H177" s="261"/>
    </row>
    <row r="178" spans="1:8" ht="12" customHeight="1">
      <c r="A178" s="159" t="s">
        <v>483</v>
      </c>
      <c r="B178" s="160">
        <v>483000</v>
      </c>
      <c r="C178" s="243"/>
      <c r="D178" s="304" t="s">
        <v>401</v>
      </c>
      <c r="E178" s="304"/>
      <c r="F178" s="244">
        <f>+F179</f>
        <v>0</v>
      </c>
      <c r="G178" s="261"/>
      <c r="H178" s="261"/>
    </row>
    <row r="179" spans="1:8" ht="12">
      <c r="A179" s="54"/>
      <c r="B179" s="102"/>
      <c r="C179" s="248"/>
      <c r="D179" s="8">
        <v>483111</v>
      </c>
      <c r="E179" s="19" t="s">
        <v>484</v>
      </c>
      <c r="F179" s="230"/>
      <c r="G179" s="261"/>
      <c r="H179" s="261"/>
    </row>
    <row r="180" spans="1:8" ht="12" customHeight="1">
      <c r="A180" s="94" t="s">
        <v>40</v>
      </c>
      <c r="B180" s="168" t="s">
        <v>406</v>
      </c>
      <c r="C180" s="249"/>
      <c r="D180" s="304" t="s">
        <v>408</v>
      </c>
      <c r="E180" s="304"/>
      <c r="F180" s="52"/>
      <c r="G180" s="261"/>
      <c r="H180" s="261"/>
    </row>
    <row r="181" spans="1:8" ht="12">
      <c r="A181" s="175">
        <v>1</v>
      </c>
      <c r="B181" s="176"/>
      <c r="C181" s="177"/>
      <c r="D181" s="252" t="s">
        <v>485</v>
      </c>
      <c r="E181" s="253"/>
      <c r="F181" s="55"/>
      <c r="G181" s="261"/>
      <c r="H181" s="261"/>
    </row>
    <row r="182" spans="1:8" ht="12.75" customHeight="1">
      <c r="A182" s="309" t="s">
        <v>434</v>
      </c>
      <c r="B182" s="309"/>
      <c r="C182" s="309"/>
      <c r="D182" s="309"/>
      <c r="E182" s="309"/>
      <c r="F182" s="132">
        <f>+F180+F178+F174+F172+F46+F31</f>
        <v>449989438</v>
      </c>
      <c r="G182" s="132">
        <f>+G180+G178+G174+G172+G46+G31</f>
        <v>148364107.41260886</v>
      </c>
      <c r="H182" s="132">
        <f>+H180+H178+H174+H172+H46+H31</f>
        <v>225760534.5679648</v>
      </c>
    </row>
    <row r="183" spans="1:8" ht="12">
      <c r="A183" s="186"/>
      <c r="B183" s="187"/>
      <c r="C183" s="187"/>
      <c r="D183" s="4"/>
      <c r="E183" s="4"/>
      <c r="F183" s="266">
        <f>+F23-F182</f>
        <v>-449989438</v>
      </c>
      <c r="G183" s="266">
        <f>+G23-G182</f>
        <v>-148364107.41260886</v>
      </c>
      <c r="H183" s="266">
        <f>+H23-H182</f>
        <v>-225760534.5679648</v>
      </c>
    </row>
    <row r="184" spans="1:7" ht="12">
      <c r="A184" s="186"/>
      <c r="B184" s="187"/>
      <c r="C184" s="187"/>
      <c r="D184" s="4"/>
      <c r="E184" s="4"/>
      <c r="F184" s="266"/>
      <c r="G184" s="266"/>
    </row>
    <row r="185" spans="1:10" ht="12">
      <c r="A185" s="186"/>
      <c r="B185" s="187"/>
      <c r="C185" s="187"/>
      <c r="D185" s="4"/>
      <c r="E185" s="4"/>
      <c r="F185" s="266" t="s">
        <v>486</v>
      </c>
      <c r="G185" s="266" t="s">
        <v>487</v>
      </c>
      <c r="H185" s="266" t="s">
        <v>488</v>
      </c>
      <c r="I185" s="259" t="s">
        <v>489</v>
      </c>
      <c r="J185" s="259" t="s">
        <v>490</v>
      </c>
    </row>
    <row r="186" ht="5.25" customHeight="1">
      <c r="E186" s="4"/>
    </row>
    <row r="187" spans="5:11" ht="13.5">
      <c r="E187" s="189" t="s">
        <v>436</v>
      </c>
      <c r="F187" s="267">
        <f>F32</f>
        <v>359188198.8272</v>
      </c>
      <c r="G187" s="267">
        <f>G32</f>
        <v>116775060</v>
      </c>
      <c r="H187" s="267">
        <f>H32</f>
        <v>170989741</v>
      </c>
      <c r="I187" s="259">
        <f aca="true" t="shared" si="0" ref="I187:I196">+F187+G187+H187</f>
        <v>646952999.8271999</v>
      </c>
      <c r="J187" s="259">
        <v>646953000</v>
      </c>
      <c r="K187" s="259">
        <f>+I187-J187</f>
        <v>-0.17280006408691406</v>
      </c>
    </row>
    <row r="188" spans="5:11" ht="13.5">
      <c r="E188" s="189" t="s">
        <v>437</v>
      </c>
      <c r="F188" s="267">
        <f>+F36+F43</f>
        <v>7854049</v>
      </c>
      <c r="G188" s="267">
        <f>+G36+G43</f>
        <v>6277394</v>
      </c>
      <c r="H188" s="267">
        <f>+H36+H43</f>
        <v>1250557</v>
      </c>
      <c r="I188" s="259">
        <f t="shared" si="0"/>
        <v>15382000</v>
      </c>
      <c r="J188" s="259">
        <v>15382000</v>
      </c>
      <c r="K188" s="259">
        <f>+I188-J188</f>
        <v>0</v>
      </c>
    </row>
    <row r="189" spans="5:11" ht="13.5">
      <c r="E189" s="189" t="s">
        <v>438</v>
      </c>
      <c r="F189" s="267">
        <f>+F146+F147</f>
        <v>14471545</v>
      </c>
      <c r="G189" s="267">
        <f>+G146+G147</f>
        <v>3773814</v>
      </c>
      <c r="H189" s="267">
        <f>+H146+H147</f>
        <v>6207069.9590846</v>
      </c>
      <c r="I189" s="259">
        <f t="shared" si="0"/>
        <v>24452428.9590846</v>
      </c>
      <c r="J189" s="316">
        <v>33108000</v>
      </c>
      <c r="K189" s="317"/>
    </row>
    <row r="190" spans="5:11" ht="13.5">
      <c r="E190" s="189" t="s">
        <v>439</v>
      </c>
      <c r="F190" s="267">
        <f>+F148</f>
        <v>6163007</v>
      </c>
      <c r="G190" s="267">
        <f>+G148</f>
        <v>0</v>
      </c>
      <c r="H190" s="267">
        <f>+H148</f>
        <v>2492564</v>
      </c>
      <c r="I190" s="259">
        <f t="shared" si="0"/>
        <v>8655571</v>
      </c>
      <c r="J190" s="316"/>
      <c r="K190" s="317"/>
    </row>
    <row r="191" spans="5:11" ht="13.5">
      <c r="E191" s="189" t="s">
        <v>494</v>
      </c>
      <c r="F191" s="267"/>
      <c r="G191" s="267"/>
      <c r="H191" s="267">
        <f>+H150</f>
        <v>12030</v>
      </c>
      <c r="I191" s="259">
        <f t="shared" si="0"/>
        <v>12030</v>
      </c>
      <c r="K191" s="259">
        <f aca="true" t="shared" si="1" ref="K191:K196">+I191-J191</f>
        <v>12030</v>
      </c>
    </row>
    <row r="192" spans="5:11" ht="13.5">
      <c r="E192" s="189" t="s">
        <v>440</v>
      </c>
      <c r="F192" s="267">
        <f>+F140+F142+F143+F144+F152</f>
        <v>15574744.855467552</v>
      </c>
      <c r="G192" s="267">
        <f>+G140+G142+G143+G144+G152</f>
        <v>3491063</v>
      </c>
      <c r="H192" s="267">
        <f>+H140+H142+H143+H144+H152+H141</f>
        <v>9801191.1248328</v>
      </c>
      <c r="I192" s="259">
        <f t="shared" si="0"/>
        <v>28866998.980300352</v>
      </c>
      <c r="J192" s="259">
        <v>28867000</v>
      </c>
      <c r="K192" s="259">
        <f t="shared" si="1"/>
        <v>-1.0196996480226517</v>
      </c>
    </row>
    <row r="193" spans="5:11" ht="13.5">
      <c r="E193" s="189" t="s">
        <v>441</v>
      </c>
      <c r="F193" s="267">
        <f>+F156+F157</f>
        <v>0</v>
      </c>
      <c r="G193" s="267">
        <f>+G156+G157</f>
        <v>299192</v>
      </c>
      <c r="H193" s="267">
        <f>+H156+H157</f>
        <v>310648</v>
      </c>
      <c r="I193" s="259">
        <f t="shared" si="0"/>
        <v>609840</v>
      </c>
      <c r="K193" s="259">
        <f t="shared" si="1"/>
        <v>609840</v>
      </c>
    </row>
    <row r="194" spans="5:11" ht="13.5">
      <c r="E194" s="189" t="s">
        <v>442</v>
      </c>
      <c r="F194" s="267">
        <f>+F51+F132+F133+F134+F135</f>
        <v>20698907</v>
      </c>
      <c r="G194" s="267">
        <f>+G51+G132+G133+G134+G135</f>
        <v>9643080</v>
      </c>
      <c r="H194" s="267">
        <f>+H51+H132+H133+H134+H135</f>
        <v>24158013</v>
      </c>
      <c r="I194" s="259">
        <f t="shared" si="0"/>
        <v>54500000</v>
      </c>
      <c r="J194" s="259">
        <v>54500000</v>
      </c>
      <c r="K194" s="259">
        <f t="shared" si="1"/>
        <v>0</v>
      </c>
    </row>
    <row r="195" spans="5:11" ht="13.5">
      <c r="E195" s="189" t="s">
        <v>443</v>
      </c>
      <c r="F195" s="267">
        <f>+F49+F57+F61+F65+F69+F71+F78+F93+F96+F125+F136+F137+F154+F158+F159+F160+F174+F130+F172</f>
        <v>26038986.317332465</v>
      </c>
      <c r="G195" s="267">
        <f>+G49+G57+G61+G65+G69+G71+G78+G93+G96+G125+G136+G137+G154+G158+G159+G160+G174+G130+G172</f>
        <v>8104504.41260885</v>
      </c>
      <c r="H195" s="267">
        <f>+H49+H57+H61+H65+H69+H71+H78+H93+H96+H125+H136+H137+H154+H158+H159+H160+H174+H130+H172</f>
        <v>10538720.484047398</v>
      </c>
      <c r="I195" s="259">
        <f t="shared" si="0"/>
        <v>44682211.213988714</v>
      </c>
      <c r="J195" s="259">
        <v>44694000</v>
      </c>
      <c r="K195" s="259">
        <f t="shared" si="1"/>
        <v>-11788.78601128608</v>
      </c>
    </row>
    <row r="196" spans="4:11" ht="13.5">
      <c r="D196" s="268"/>
      <c r="E196" s="267"/>
      <c r="F196" s="267">
        <f>+F187+F188+F189+F192+F194+F195+F190+F193</f>
        <v>449989438</v>
      </c>
      <c r="G196" s="267">
        <f>+G187+G188+G189+G192+G194+G195+G190+G193</f>
        <v>148364107.41260886</v>
      </c>
      <c r="H196" s="267">
        <f>+H187+H188+H189+H192+H194+H195+H190+H193+H191</f>
        <v>225760534.5679648</v>
      </c>
      <c r="I196" s="259">
        <f t="shared" si="0"/>
        <v>824114079.9805737</v>
      </c>
      <c r="J196" s="259">
        <f>SUM(J187:J195)</f>
        <v>823504000</v>
      </c>
      <c r="K196" s="259">
        <f t="shared" si="1"/>
        <v>610079.9805736542</v>
      </c>
    </row>
    <row r="197" spans="5:8" ht="25.5" customHeight="1">
      <c r="E197" s="4"/>
      <c r="F197" s="259"/>
      <c r="G197" s="259"/>
      <c r="H197" s="259"/>
    </row>
    <row r="198" ht="18" customHeight="1">
      <c r="F198" s="259"/>
    </row>
    <row r="199" ht="12">
      <c r="F199" s="259"/>
    </row>
  </sheetData>
  <sheetProtection selectLockedCells="1" selectUnlockedCells="1"/>
  <mergeCells count="64">
    <mergeCell ref="J189:J190"/>
    <mergeCell ref="K189:K190"/>
    <mergeCell ref="B161:B171"/>
    <mergeCell ref="D172:E172"/>
    <mergeCell ref="D174:E174"/>
    <mergeCell ref="D178:E178"/>
    <mergeCell ref="D180:E180"/>
    <mergeCell ref="A182:E182"/>
    <mergeCell ref="D124:E124"/>
    <mergeCell ref="B126:B129"/>
    <mergeCell ref="B132:B137"/>
    <mergeCell ref="B140:B143"/>
    <mergeCell ref="B146:B147"/>
    <mergeCell ref="B154:B159"/>
    <mergeCell ref="D92:E92"/>
    <mergeCell ref="B94:B95"/>
    <mergeCell ref="D96:E96"/>
    <mergeCell ref="B98:B106"/>
    <mergeCell ref="B109:B112"/>
    <mergeCell ref="B114:B120"/>
    <mergeCell ref="D71:E71"/>
    <mergeCell ref="B73:B76"/>
    <mergeCell ref="D78:E78"/>
    <mergeCell ref="B81:B82"/>
    <mergeCell ref="B84:B85"/>
    <mergeCell ref="B87:B88"/>
    <mergeCell ref="D47:E47"/>
    <mergeCell ref="B49:B50"/>
    <mergeCell ref="B52:B55"/>
    <mergeCell ref="B58:B60"/>
    <mergeCell ref="B62:B64"/>
    <mergeCell ref="B66:B68"/>
    <mergeCell ref="D37:E37"/>
    <mergeCell ref="D41:E41"/>
    <mergeCell ref="A42:A43"/>
    <mergeCell ref="B42:B43"/>
    <mergeCell ref="D44:E44"/>
    <mergeCell ref="D46:E46"/>
    <mergeCell ref="A30:E30"/>
    <mergeCell ref="D31:E31"/>
    <mergeCell ref="D32:E32"/>
    <mergeCell ref="A33:A34"/>
    <mergeCell ref="B33:B34"/>
    <mergeCell ref="D35:E35"/>
    <mergeCell ref="D21:E21"/>
    <mergeCell ref="D22:E22"/>
    <mergeCell ref="A23:E23"/>
    <mergeCell ref="A26:A28"/>
    <mergeCell ref="B26:B28"/>
    <mergeCell ref="C26:C28"/>
    <mergeCell ref="D26:D28"/>
    <mergeCell ref="E26:E28"/>
    <mergeCell ref="D13:E13"/>
    <mergeCell ref="A14:A15"/>
    <mergeCell ref="B14:B15"/>
    <mergeCell ref="C14:C15"/>
    <mergeCell ref="D16:E16"/>
    <mergeCell ref="D18:E18"/>
    <mergeCell ref="A7:A9"/>
    <mergeCell ref="B7:B9"/>
    <mergeCell ref="C7:C9"/>
    <mergeCell ref="D7:D9"/>
    <mergeCell ref="E7:E9"/>
    <mergeCell ref="D11:E11"/>
  </mergeCells>
  <dataValidations count="5">
    <dataValidation type="whole" allowBlank="1" showErrorMessage="1" errorTitle="Upozorenje" error="Niste uneli korektnu vrednost!&#10;Ponovite unos." sqref="F21:F22 F148:F152 H148 F182:H182">
      <formula1>0</formula1>
      <formula2>9999999999999</formula2>
    </dataValidation>
    <dataValidation allowBlank="1" showErrorMessage="1" errorTitle="Upozorenje" error="Niste uneli korektnu vrednost!&#10;Ponovite unos." sqref="G46:H46 H47 G138:H138 H146">
      <formula1>0</formula1>
      <formula2>0</formula2>
    </dataValidation>
    <dataValidation type="whole" allowBlank="1" showErrorMessage="1" errorTitle="Upozorenje" error="Niste uneli korektnu vrednost!&#10;Ponovite unos." sqref="F11:F13 F18:F19 F31:H32 F34:H41 F43:H45 F46:F47 G47 F49:H52 F53:G53 F54:F62 H55 G57:H63 F64:H69 F70:F74 G71:H74 F75:H78 F79:F93 H79:H93 G91:H93 F94:H137 F138:F147 G139:H145 G146:G147 H147 G149:H152 F153:H160 F165:H165 F175:H175 F176:F177 F179:F181">
      <formula1>0</formula1>
      <formula2>999999999</formula2>
    </dataValidation>
    <dataValidation type="whole" allowBlank="1" showErrorMessage="1" errorTitle="Upozorenje" error="Niste uneli korektnu vrednost!&#10;Ponovite unos." sqref="F23">
      <formula1>0</formula1>
      <formula2>99999999999999</formula2>
    </dataValidation>
    <dataValidation type="whole" allowBlank="1" showErrorMessage="1" errorTitle="Upozorenje" error="Niste uneli korektnu vrednost!&#10;Ponovite unos." sqref="F33:H33 F161:H164 F166:H171 F173:H173">
      <formula1>0</formula1>
      <formula2>999999999999</formula2>
    </dataValidation>
  </dataValidations>
  <printOptions/>
  <pageMargins left="0.25" right="0.2" top="0.5" bottom="0.5" header="0.5118055555555555" footer="0.5118055555555555"/>
  <pageSetup horizontalDpi="300" verticalDpi="300" orientation="landscape" scale="84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3:L59"/>
  <sheetViews>
    <sheetView zoomScale="80" zoomScaleNormal="80" zoomScalePageLayoutView="0" workbookViewId="0" topLeftCell="A1">
      <selection activeCell="H27" sqref="H27"/>
    </sheetView>
  </sheetViews>
  <sheetFormatPr defaultColWidth="9.140625" defaultRowHeight="15"/>
  <cols>
    <col min="1" max="1" width="12.7109375" style="0" customWidth="1"/>
    <col min="2" max="2" width="14.57421875" style="273" customWidth="1"/>
    <col min="3" max="3" width="11.8515625" style="273" customWidth="1"/>
    <col min="4" max="4" width="13.8515625" style="0" customWidth="1"/>
    <col min="5" max="5" width="12.00390625" style="0" customWidth="1"/>
    <col min="6" max="6" width="11.8515625" style="0" customWidth="1"/>
    <col min="8" max="8" width="14.8515625" style="0" customWidth="1"/>
    <col min="9" max="9" width="15.00390625" style="0" customWidth="1"/>
    <col min="10" max="10" width="12.421875" style="0" customWidth="1"/>
    <col min="11" max="11" width="15.57421875" style="0" customWidth="1"/>
    <col min="12" max="12" width="13.140625" style="0" customWidth="1"/>
  </cols>
  <sheetData>
    <row r="3" ht="14.25">
      <c r="C3" s="274" t="s">
        <v>495</v>
      </c>
    </row>
    <row r="4" spans="1:4" ht="14.25">
      <c r="A4" t="s">
        <v>488</v>
      </c>
      <c r="B4" s="273">
        <v>185</v>
      </c>
      <c r="C4" s="273">
        <f>+B4/B7*100</f>
        <v>26.734104046242773</v>
      </c>
      <c r="D4" s="273">
        <f>+D7*C4/100</f>
        <v>14203726.553468209</v>
      </c>
    </row>
    <row r="5" spans="1:4" ht="14.25">
      <c r="A5" t="s">
        <v>487</v>
      </c>
      <c r="B5" s="273">
        <v>130</v>
      </c>
      <c r="C5" s="273">
        <f>+B5/B7*100</f>
        <v>18.786127167630056</v>
      </c>
      <c r="D5" s="273">
        <f>+D7*C5/100</f>
        <v>9980997.037572253</v>
      </c>
    </row>
    <row r="6" spans="1:4" ht="14.25">
      <c r="A6" t="s">
        <v>486</v>
      </c>
      <c r="B6" s="273">
        <v>377</v>
      </c>
      <c r="C6" s="273">
        <f>+B6/B7*100</f>
        <v>54.47976878612717</v>
      </c>
      <c r="D6" s="273">
        <f>+C6*D7/100</f>
        <v>28944891.408959538</v>
      </c>
    </row>
    <row r="7" spans="2:4" ht="14.25">
      <c r="B7" s="273">
        <f>SUM(B4:B6)</f>
        <v>692</v>
      </c>
      <c r="D7" s="273">
        <v>53129615</v>
      </c>
    </row>
    <row r="8" ht="14.25">
      <c r="D8" s="273"/>
    </row>
    <row r="11" spans="4:8" ht="14.25">
      <c r="D11" s="275">
        <f>11939617-13011</f>
        <v>11926606</v>
      </c>
      <c r="E11" s="275">
        <f>+D11*17.9/100</f>
        <v>2134862.474</v>
      </c>
      <c r="F11" s="275">
        <f>SUM(D11:E11)</f>
        <v>14061468.474</v>
      </c>
      <c r="G11" s="276">
        <f>+F11/$F$14*100</f>
        <v>26.42640736749467</v>
      </c>
      <c r="H11" s="273">
        <f>+D4-F11</f>
        <v>142258.0794682093</v>
      </c>
    </row>
    <row r="12" spans="4:8" ht="14.25">
      <c r="D12">
        <v>8148391</v>
      </c>
      <c r="E12" s="275">
        <f>+D12*17.9/100</f>
        <v>1458561.9889999998</v>
      </c>
      <c r="F12" s="275">
        <f>SUM(D12:E12)</f>
        <v>9606952.989</v>
      </c>
      <c r="G12" s="276">
        <f>+F12/$F$14*100</f>
        <v>18.05481793861785</v>
      </c>
      <c r="H12" s="273">
        <f>+D5-F12</f>
        <v>374044.04857225344</v>
      </c>
    </row>
    <row r="13" spans="4:8" ht="14.25">
      <c r="D13" s="275">
        <f>25240806-19852.83-78964.28-85592</f>
        <v>25056396.89</v>
      </c>
      <c r="E13" s="275">
        <f>+D13*17.9/100</f>
        <v>4485095.04331</v>
      </c>
      <c r="F13" s="275">
        <f>SUM(D13:E13)</f>
        <v>29541491.933310002</v>
      </c>
      <c r="G13" s="276">
        <f>+F13/$F$14*100</f>
        <v>55.51877469388749</v>
      </c>
      <c r="H13" s="273">
        <f>+D6-F13</f>
        <v>-596600.5243504643</v>
      </c>
    </row>
    <row r="14" spans="6:7" ht="14.25">
      <c r="F14" s="275">
        <f>SUM(F11:F13)</f>
        <v>53209913.39631</v>
      </c>
      <c r="G14" s="276"/>
    </row>
    <row r="16" ht="14.25">
      <c r="F16" s="273">
        <f>+F14-D7</f>
        <v>80298.39631000161</v>
      </c>
    </row>
    <row r="18" spans="1:12" ht="14.25">
      <c r="A18" s="277"/>
      <c r="B18" s="278"/>
      <c r="C18" s="279" t="s">
        <v>496</v>
      </c>
      <c r="D18" s="279"/>
      <c r="E18" s="279"/>
      <c r="F18" s="277"/>
      <c r="G18" s="277"/>
      <c r="H18" s="280"/>
      <c r="I18" s="280"/>
      <c r="J18" s="280"/>
      <c r="K18" s="280"/>
      <c r="L18" s="280"/>
    </row>
    <row r="19" spans="1:12" ht="14.25">
      <c r="A19" s="277"/>
      <c r="B19" s="278"/>
      <c r="C19" s="281">
        <v>55.88</v>
      </c>
      <c r="D19" s="281">
        <v>18.8</v>
      </c>
      <c r="E19" s="281">
        <v>25.32</v>
      </c>
      <c r="F19" s="277" t="s">
        <v>497</v>
      </c>
      <c r="G19" s="277"/>
      <c r="H19" s="280"/>
      <c r="I19" s="280"/>
      <c r="J19" s="280"/>
      <c r="K19" s="280"/>
      <c r="L19" s="280"/>
    </row>
    <row r="20" spans="1:12" ht="14.25">
      <c r="A20" s="277"/>
      <c r="B20" s="278"/>
      <c r="C20" s="274" t="s">
        <v>486</v>
      </c>
      <c r="D20" s="282" t="s">
        <v>487</v>
      </c>
      <c r="E20" s="282" t="s">
        <v>488</v>
      </c>
      <c r="F20" s="277"/>
      <c r="G20" s="277"/>
      <c r="H20" s="280"/>
      <c r="I20" s="280"/>
      <c r="J20" s="280"/>
      <c r="K20" s="280"/>
      <c r="L20" s="280" t="s">
        <v>498</v>
      </c>
    </row>
    <row r="21" spans="1:12" ht="14.25">
      <c r="A21" s="277" t="s">
        <v>499</v>
      </c>
      <c r="B21" s="278">
        <v>54466767</v>
      </c>
      <c r="C21" s="278">
        <f>+B21*$C$19/100-240</f>
        <v>30435789.3996</v>
      </c>
      <c r="D21" s="278">
        <f aca="true" t="shared" si="0" ref="D21:D32">+B21*$D$19/100</f>
        <v>10239752.196</v>
      </c>
      <c r="E21" s="278">
        <f aca="true" t="shared" si="1" ref="E21:E32">+B21*$E$19/100</f>
        <v>13790985.4044</v>
      </c>
      <c r="F21" s="278">
        <f aca="true" t="shared" si="2" ref="F21:F32">SUM(C21:E21)</f>
        <v>54466527</v>
      </c>
      <c r="G21" s="278"/>
      <c r="H21" s="280">
        <v>29898048.85</v>
      </c>
      <c r="I21" s="280">
        <v>10088080</v>
      </c>
      <c r="J21" s="280">
        <v>13852760</v>
      </c>
      <c r="K21" s="280">
        <f>SUM(H21:J21)</f>
        <v>53838888.85</v>
      </c>
      <c r="L21" s="280">
        <f>F21-K21</f>
        <v>627638.1499999985</v>
      </c>
    </row>
    <row r="22" spans="1:12" ht="14.25">
      <c r="A22" s="277" t="s">
        <v>500</v>
      </c>
      <c r="B22" s="278">
        <v>54061946</v>
      </c>
      <c r="C22" s="278">
        <f aca="true" t="shared" si="3" ref="C22:C32">+B22*$C$19/100</f>
        <v>30209815.4248</v>
      </c>
      <c r="D22" s="278">
        <f t="shared" si="0"/>
        <v>10163645.848000001</v>
      </c>
      <c r="E22" s="278">
        <f t="shared" si="1"/>
        <v>13688484.7272</v>
      </c>
      <c r="F22" s="278">
        <f t="shared" si="2"/>
        <v>54061946</v>
      </c>
      <c r="G22" s="278"/>
      <c r="H22" s="280">
        <v>29997542</v>
      </c>
      <c r="I22" s="280">
        <v>10130810</v>
      </c>
      <c r="J22" s="280">
        <v>13392063</v>
      </c>
      <c r="K22" s="280">
        <f>SUM(H22:J22)</f>
        <v>53520415</v>
      </c>
      <c r="L22" s="280">
        <f>F22-K22</f>
        <v>541531</v>
      </c>
    </row>
    <row r="23" spans="1:12" ht="14.25">
      <c r="A23" s="277" t="s">
        <v>501</v>
      </c>
      <c r="B23" s="278">
        <v>53107565</v>
      </c>
      <c r="C23" s="278">
        <f t="shared" si="3"/>
        <v>29676507.322000004</v>
      </c>
      <c r="D23" s="278">
        <f t="shared" si="0"/>
        <v>9984222.22</v>
      </c>
      <c r="E23" s="278">
        <f t="shared" si="1"/>
        <v>13446835.457999999</v>
      </c>
      <c r="F23" s="278">
        <f t="shared" si="2"/>
        <v>53107565</v>
      </c>
      <c r="G23" s="278"/>
      <c r="H23" s="280">
        <v>29949927</v>
      </c>
      <c r="I23" s="280">
        <v>9972602</v>
      </c>
      <c r="J23" s="280">
        <v>13170124</v>
      </c>
      <c r="K23" s="280">
        <f>SUM(H23:J23)</f>
        <v>53092653</v>
      </c>
      <c r="L23" s="280">
        <f>F23-K23</f>
        <v>14912</v>
      </c>
    </row>
    <row r="24" spans="1:12" ht="14.25">
      <c r="A24" s="277" t="s">
        <v>502</v>
      </c>
      <c r="B24" s="278">
        <v>54782493</v>
      </c>
      <c r="C24" s="278">
        <f t="shared" si="3"/>
        <v>30612457.088400003</v>
      </c>
      <c r="D24" s="278">
        <f t="shared" si="0"/>
        <v>10299108.684</v>
      </c>
      <c r="E24" s="278">
        <f t="shared" si="1"/>
        <v>13870927.2276</v>
      </c>
      <c r="F24" s="278">
        <f t="shared" si="2"/>
        <v>54782493.00000001</v>
      </c>
      <c r="G24" s="278"/>
      <c r="H24" s="280">
        <v>29898048.85</v>
      </c>
      <c r="I24" s="280">
        <v>10088080</v>
      </c>
      <c r="J24" s="280">
        <v>13852760</v>
      </c>
      <c r="K24" s="280">
        <f>SUM(H24:J24)</f>
        <v>53838888.85</v>
      </c>
      <c r="L24" s="280">
        <f>F24-K24</f>
        <v>943604.150000006</v>
      </c>
    </row>
    <row r="25" spans="1:12" ht="14.25">
      <c r="A25" s="277" t="s">
        <v>503</v>
      </c>
      <c r="B25" s="278">
        <v>54782493</v>
      </c>
      <c r="C25" s="278">
        <f t="shared" si="3"/>
        <v>30612457.088400003</v>
      </c>
      <c r="D25" s="278">
        <f t="shared" si="0"/>
        <v>10299108.684</v>
      </c>
      <c r="E25" s="278">
        <f t="shared" si="1"/>
        <v>13870927.2276</v>
      </c>
      <c r="F25" s="278">
        <f t="shared" si="2"/>
        <v>54782493.00000001</v>
      </c>
      <c r="G25" s="278"/>
      <c r="H25" s="280">
        <f>SUM(H21:H24)</f>
        <v>119743566.69999999</v>
      </c>
      <c r="I25" s="280">
        <f>SUM(I21:I24)</f>
        <v>40279572</v>
      </c>
      <c r="J25" s="280">
        <f>SUM(J21:J24)</f>
        <v>54267707</v>
      </c>
      <c r="K25" s="280">
        <f>SUM(K21:K24)</f>
        <v>214290845.7</v>
      </c>
      <c r="L25" s="280"/>
    </row>
    <row r="26" spans="1:12" ht="14.25">
      <c r="A26" s="277" t="s">
        <v>504</v>
      </c>
      <c r="B26" s="278">
        <v>53373102</v>
      </c>
      <c r="C26" s="278">
        <f t="shared" si="3"/>
        <v>29824889.397600003</v>
      </c>
      <c r="D26" s="278">
        <f t="shared" si="0"/>
        <v>10034143.176</v>
      </c>
      <c r="E26" s="278">
        <f t="shared" si="1"/>
        <v>13514069.4264</v>
      </c>
      <c r="F26" s="278">
        <f t="shared" si="2"/>
        <v>53373102</v>
      </c>
      <c r="G26" s="278"/>
      <c r="H26" s="280">
        <f>H25/K25*100</f>
        <v>55.87899301477254</v>
      </c>
      <c r="I26" s="280">
        <f>I25/K25*100</f>
        <v>18.7966834833393</v>
      </c>
      <c r="J26" s="280">
        <f>J25/K25*100</f>
        <v>25.324323501888163</v>
      </c>
      <c r="K26" s="280">
        <f>SUM(H26:J26)</f>
        <v>100</v>
      </c>
      <c r="L26" s="280"/>
    </row>
    <row r="27" spans="1:12" ht="14.25">
      <c r="A27" s="277" t="s">
        <v>505</v>
      </c>
      <c r="B27" s="278">
        <v>53373102</v>
      </c>
      <c r="C27" s="278">
        <f t="shared" si="3"/>
        <v>29824889.397600003</v>
      </c>
      <c r="D27" s="278">
        <f t="shared" si="0"/>
        <v>10034143.176</v>
      </c>
      <c r="E27" s="278">
        <f t="shared" si="1"/>
        <v>13514069.4264</v>
      </c>
      <c r="F27" s="278">
        <f t="shared" si="2"/>
        <v>53373102</v>
      </c>
      <c r="G27" s="278"/>
      <c r="H27" s="280"/>
      <c r="I27" s="280"/>
      <c r="J27" s="280"/>
      <c r="K27" s="280"/>
      <c r="L27" s="280"/>
    </row>
    <row r="28" spans="1:12" ht="14.25">
      <c r="A28" s="277" t="s">
        <v>506</v>
      </c>
      <c r="B28" s="278">
        <v>53373102</v>
      </c>
      <c r="C28" s="278">
        <f t="shared" si="3"/>
        <v>29824889.397600003</v>
      </c>
      <c r="D28" s="278">
        <f t="shared" si="0"/>
        <v>10034143.176</v>
      </c>
      <c r="E28" s="278">
        <f t="shared" si="1"/>
        <v>13514069.4264</v>
      </c>
      <c r="F28" s="278">
        <f t="shared" si="2"/>
        <v>53373102</v>
      </c>
      <c r="G28" s="278"/>
      <c r="H28" s="280"/>
      <c r="I28" s="280"/>
      <c r="J28" s="280"/>
      <c r="K28" s="280"/>
      <c r="L28" s="280"/>
    </row>
    <row r="29" spans="1:12" ht="14.25">
      <c r="A29" s="277" t="s">
        <v>507</v>
      </c>
      <c r="B29" s="278">
        <v>53373102</v>
      </c>
      <c r="C29" s="278">
        <f t="shared" si="3"/>
        <v>29824889.397600003</v>
      </c>
      <c r="D29" s="278">
        <f t="shared" si="0"/>
        <v>10034143.176</v>
      </c>
      <c r="E29" s="278">
        <f t="shared" si="1"/>
        <v>13514069.4264</v>
      </c>
      <c r="F29" s="278">
        <f t="shared" si="2"/>
        <v>53373102</v>
      </c>
      <c r="G29" s="278"/>
      <c r="H29" s="280"/>
      <c r="I29" s="280"/>
      <c r="J29" s="280"/>
      <c r="K29" s="280"/>
      <c r="L29" s="280"/>
    </row>
    <row r="30" spans="1:12" ht="14.25">
      <c r="A30" s="277" t="s">
        <v>508</v>
      </c>
      <c r="B30" s="278">
        <v>53906833</v>
      </c>
      <c r="C30" s="278">
        <f t="shared" si="3"/>
        <v>30123138.2804</v>
      </c>
      <c r="D30" s="278">
        <f t="shared" si="0"/>
        <v>10134484.604</v>
      </c>
      <c r="E30" s="278">
        <f t="shared" si="1"/>
        <v>13649210.1156</v>
      </c>
      <c r="F30" s="278">
        <f t="shared" si="2"/>
        <v>53906833</v>
      </c>
      <c r="G30" s="278"/>
      <c r="H30" s="280"/>
      <c r="I30" s="280"/>
      <c r="J30" s="280"/>
      <c r="K30" s="280"/>
      <c r="L30" s="280"/>
    </row>
    <row r="31" spans="1:12" ht="14.25">
      <c r="A31" s="277" t="s">
        <v>509</v>
      </c>
      <c r="B31" s="278">
        <v>54445902</v>
      </c>
      <c r="C31" s="278">
        <f t="shared" si="3"/>
        <v>30424370.037600003</v>
      </c>
      <c r="D31" s="278">
        <f t="shared" si="0"/>
        <v>10235829.576</v>
      </c>
      <c r="E31" s="278">
        <f t="shared" si="1"/>
        <v>13785702.386400001</v>
      </c>
      <c r="F31" s="278">
        <f t="shared" si="2"/>
        <v>54445902</v>
      </c>
      <c r="G31" s="278"/>
      <c r="H31" s="280"/>
      <c r="I31" s="280"/>
      <c r="J31" s="280"/>
      <c r="K31" s="280"/>
      <c r="L31" s="280"/>
    </row>
    <row r="32" spans="1:12" ht="14.25">
      <c r="A32" s="277" t="s">
        <v>510</v>
      </c>
      <c r="B32" s="278">
        <v>53906833</v>
      </c>
      <c r="C32" s="278">
        <f t="shared" si="3"/>
        <v>30123138.2804</v>
      </c>
      <c r="D32" s="278">
        <f t="shared" si="0"/>
        <v>10134484.604</v>
      </c>
      <c r="E32" s="278">
        <f t="shared" si="1"/>
        <v>13649210.1156</v>
      </c>
      <c r="F32" s="278">
        <f t="shared" si="2"/>
        <v>53906833</v>
      </c>
      <c r="G32" s="278"/>
      <c r="H32" s="280"/>
      <c r="I32" s="280"/>
      <c r="J32" s="280"/>
      <c r="K32" s="280"/>
      <c r="L32" s="280"/>
    </row>
    <row r="33" spans="1:12" ht="14.25">
      <c r="A33" s="277"/>
      <c r="B33" s="278">
        <f>SUM(B21:B32)</f>
        <v>646953240</v>
      </c>
      <c r="C33" s="278">
        <f>SUM(C21:C32)</f>
        <v>361517230.51199996</v>
      </c>
      <c r="D33" s="278">
        <f>SUM(D21:D32)</f>
        <v>121627209.12</v>
      </c>
      <c r="E33" s="278">
        <f>SUM(E21:E32)</f>
        <v>163808560.36800003</v>
      </c>
      <c r="F33" s="278">
        <f>SUM(F21:F32)</f>
        <v>646953000</v>
      </c>
      <c r="G33" s="277"/>
      <c r="H33" s="280"/>
      <c r="I33" s="280"/>
      <c r="J33" s="280"/>
      <c r="K33" s="280"/>
      <c r="L33" s="280"/>
    </row>
    <row r="35" spans="3:5" ht="15" customHeight="1">
      <c r="C35" s="318" t="s">
        <v>511</v>
      </c>
      <c r="D35" s="318"/>
      <c r="E35" s="318"/>
    </row>
    <row r="36" spans="3:5" ht="14.25">
      <c r="C36" s="281">
        <v>51.06</v>
      </c>
      <c r="D36" s="281">
        <v>40.81</v>
      </c>
      <c r="E36" s="281">
        <v>8.13</v>
      </c>
    </row>
    <row r="37" spans="3:5" ht="14.25">
      <c r="C37" s="274" t="s">
        <v>486</v>
      </c>
      <c r="D37" s="282" t="s">
        <v>487</v>
      </c>
      <c r="E37" s="282" t="s">
        <v>488</v>
      </c>
    </row>
    <row r="38" spans="1:5" ht="14.25">
      <c r="A38" t="s">
        <v>499</v>
      </c>
      <c r="B38" s="273">
        <v>1279470.7509036823</v>
      </c>
      <c r="C38" s="273">
        <v>653297.7654114203</v>
      </c>
      <c r="D38" s="273">
        <v>522152.01344379276</v>
      </c>
      <c r="E38" s="273">
        <v>104020.9720484694</v>
      </c>
    </row>
    <row r="39" spans="1:5" ht="14.25">
      <c r="A39" t="s">
        <v>500</v>
      </c>
      <c r="B39" s="273">
        <v>1248177.9840626188</v>
      </c>
      <c r="C39" s="273">
        <v>637319.6786623732</v>
      </c>
      <c r="D39" s="273">
        <v>509381.4352959548</v>
      </c>
      <c r="E39" s="273">
        <v>101476.87010429092</v>
      </c>
    </row>
    <row r="40" spans="1:5" ht="14.25">
      <c r="A40" t="s">
        <v>501</v>
      </c>
      <c r="B40" s="273">
        <v>1349728.3070717743</v>
      </c>
      <c r="C40" s="273">
        <v>689171.273590848</v>
      </c>
      <c r="D40" s="273">
        <v>550824.1221159911</v>
      </c>
      <c r="E40" s="273">
        <v>109732.91136493527</v>
      </c>
    </row>
    <row r="41" spans="1:5" ht="14.25">
      <c r="A41" t="s">
        <v>502</v>
      </c>
      <c r="B41" s="273">
        <v>1423380.9027944014</v>
      </c>
      <c r="C41" s="273">
        <v>726778.2889668214</v>
      </c>
      <c r="D41" s="273">
        <v>580881.7464303953</v>
      </c>
      <c r="E41" s="273">
        <v>115720.86739718483</v>
      </c>
    </row>
    <row r="42" spans="1:5" ht="14.25">
      <c r="A42" t="s">
        <v>503</v>
      </c>
      <c r="B42" s="273">
        <v>1154333.1128313066</v>
      </c>
      <c r="C42" s="273">
        <v>589402.4874116651</v>
      </c>
      <c r="D42" s="273">
        <v>471083.3433464563</v>
      </c>
      <c r="E42" s="273">
        <v>93847.28207318524</v>
      </c>
    </row>
    <row r="43" spans="1:5" ht="14.25">
      <c r="A43" t="s">
        <v>504</v>
      </c>
      <c r="B43" s="273">
        <v>957093.4082507559</v>
      </c>
      <c r="C43" s="273">
        <v>488691.89425283595</v>
      </c>
      <c r="D43" s="273">
        <v>390589.8199071335</v>
      </c>
      <c r="E43" s="273">
        <v>77811.69409078645</v>
      </c>
    </row>
    <row r="44" spans="1:5" ht="14.25">
      <c r="A44" t="s">
        <v>505</v>
      </c>
      <c r="B44" s="273">
        <v>1285615.8413224036</v>
      </c>
      <c r="C44" s="273">
        <v>656435.4485792194</v>
      </c>
      <c r="D44" s="273">
        <v>524659.8248436729</v>
      </c>
      <c r="E44" s="273">
        <v>104520.56789951141</v>
      </c>
    </row>
    <row r="45" spans="1:5" ht="14.25">
      <c r="A45" t="s">
        <v>506</v>
      </c>
      <c r="B45" s="273">
        <v>1167261.3998578296</v>
      </c>
      <c r="C45" s="273">
        <v>596003.6707674077</v>
      </c>
      <c r="D45" s="273">
        <v>476359.3772819803</v>
      </c>
      <c r="E45" s="273">
        <v>94898.35180844156</v>
      </c>
    </row>
    <row r="46" spans="1:5" ht="14.25">
      <c r="A46" t="s">
        <v>507</v>
      </c>
      <c r="B46" s="273">
        <v>1271497.8647908163</v>
      </c>
      <c r="C46" s="273">
        <v>649226.8097621909</v>
      </c>
      <c r="D46" s="273">
        <v>518898.27862113214</v>
      </c>
      <c r="E46" s="273">
        <v>103372.77640749337</v>
      </c>
    </row>
    <row r="47" spans="1:5" ht="14.25">
      <c r="A47" t="s">
        <v>508</v>
      </c>
      <c r="B47" s="273">
        <v>1474438.2468510068</v>
      </c>
      <c r="C47" s="273">
        <v>752848.168842124</v>
      </c>
      <c r="D47" s="273">
        <v>601718.2485398959</v>
      </c>
      <c r="E47" s="273">
        <v>119871.82946898686</v>
      </c>
    </row>
    <row r="48" spans="1:5" ht="14.25">
      <c r="A48" t="s">
        <v>509</v>
      </c>
      <c r="B48" s="273">
        <v>1297953.2164542621</v>
      </c>
      <c r="C48" s="273">
        <v>662734.9123215463</v>
      </c>
      <c r="D48" s="273">
        <v>529694.7076349844</v>
      </c>
      <c r="E48" s="273">
        <v>105523.59649773153</v>
      </c>
    </row>
    <row r="49" spans="1:5" ht="14.25">
      <c r="A49" t="s">
        <v>510</v>
      </c>
      <c r="B49" s="273">
        <v>1473048.964809142</v>
      </c>
      <c r="C49" s="273">
        <v>752138.801431548</v>
      </c>
      <c r="D49" s="273">
        <v>601151.282538611</v>
      </c>
      <c r="E49" s="273">
        <v>119758.88083898327</v>
      </c>
    </row>
    <row r="50" spans="2:5" ht="14.25">
      <c r="B50" s="273">
        <v>15382000</v>
      </c>
      <c r="C50" s="273">
        <v>7854049.2</v>
      </c>
      <c r="D50" s="273">
        <v>6277394.199999999</v>
      </c>
      <c r="E50" s="273">
        <v>1250556.6</v>
      </c>
    </row>
    <row r="54" ht="14.25">
      <c r="C54" s="273" t="s">
        <v>512</v>
      </c>
    </row>
    <row r="55" spans="2:4" ht="14.25">
      <c r="B55" s="273" t="s">
        <v>513</v>
      </c>
      <c r="C55" s="273" t="s">
        <v>514</v>
      </c>
      <c r="D55" t="s">
        <v>515</v>
      </c>
    </row>
    <row r="56" spans="1:4" ht="14.25">
      <c r="A56" t="s">
        <v>486</v>
      </c>
      <c r="B56" s="273">
        <v>547776</v>
      </c>
      <c r="C56" s="273">
        <v>98051</v>
      </c>
      <c r="D56" s="273">
        <f>+B56+C56</f>
        <v>645827</v>
      </c>
    </row>
    <row r="57" spans="1:4" ht="14.25">
      <c r="A57" t="s">
        <v>487</v>
      </c>
      <c r="B57" s="273">
        <v>43959</v>
      </c>
      <c r="C57" s="273">
        <v>7868</v>
      </c>
      <c r="D57" s="273">
        <f>+B57+C57</f>
        <v>51827</v>
      </c>
    </row>
    <row r="58" spans="1:4" ht="14.25">
      <c r="A58" t="s">
        <v>488</v>
      </c>
      <c r="B58" s="273">
        <v>632479</v>
      </c>
      <c r="C58" s="273">
        <v>113213</v>
      </c>
      <c r="D58" s="273">
        <f>+B58+C58</f>
        <v>745692</v>
      </c>
    </row>
    <row r="59" ht="14.25">
      <c r="D59" s="273">
        <f>SUM(D56:D58)</f>
        <v>1443346</v>
      </c>
    </row>
  </sheetData>
  <sheetProtection selectLockedCells="1" selectUnlockedCells="1"/>
  <mergeCells count="1">
    <mergeCell ref="C35:E35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cp:lastPrinted>2018-05-15T05:46:27Z</cp:lastPrinted>
  <dcterms:modified xsi:type="dcterms:W3CDTF">2018-05-15T11:14:27Z</dcterms:modified>
  <cp:category/>
  <cp:version/>
  <cp:contentType/>
  <cp:contentStatus/>
</cp:coreProperties>
</file>